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bookViews>
    <workbookView xWindow="120" yWindow="45" windowWidth="15180" windowHeight="8580" firstSheet="10" activeTab="10"/>
  </bookViews>
  <sheets>
    <sheet name="2006-2007" sheetId="1" r:id="rId1"/>
    <sheet name="2007-2008 1Q" sheetId="4" r:id="rId2"/>
    <sheet name="2007-2008 2Q" sheetId="5" r:id="rId3"/>
    <sheet name="2007-2008" sheetId="6" r:id="rId4"/>
    <sheet name="2011-2012" sheetId="11" r:id="rId5"/>
    <sheet name="2010-2011" sheetId="10" r:id="rId6"/>
    <sheet name="2009-2010" sheetId="9" r:id="rId7"/>
    <sheet name="2008-2009" sheetId="7" r:id="rId8"/>
    <sheet name="2012-2013" sheetId="12" r:id="rId9"/>
    <sheet name="2013-2014" sheetId="13" r:id="rId10"/>
    <sheet name="2014-2015" sheetId="14" r:id="rId11"/>
  </sheets>
  <definedNames>
    <definedName name="_xlnm.Print_Area" localSheetId="5">'2010-2011'!$A$1:$G$38</definedName>
    <definedName name="_xlnm.Print_Area" localSheetId="4">'2011-2012'!$A$1:$F$37</definedName>
    <definedName name="_xlnm.Print_Area" localSheetId="8">'2012-2013'!$A$1:$F$38</definedName>
    <definedName name="_xlnm.Print_Area" localSheetId="9">'2013-2014'!$A$1:$F$39</definedName>
    <definedName name="_xlnm.Print_Area" localSheetId="10">'2014-2015'!$A$1:$F$39</definedName>
  </definedNames>
  <calcPr calcId="162912"/>
</workbook>
</file>

<file path=xl/calcChain.xml><?xml version="1.0" encoding="utf-8"?>
<calcChain xmlns="http://schemas.openxmlformats.org/spreadsheetml/2006/main">
  <c r="F12" i="14" l="1"/>
  <c r="C12" i="14"/>
  <c r="F15" i="14"/>
  <c r="C16" i="14"/>
  <c r="C15" i="14"/>
  <c r="F20" i="14"/>
  <c r="F19" i="14"/>
  <c r="F21" i="14"/>
  <c r="F18" i="14"/>
  <c r="F27" i="14"/>
  <c r="F23" i="14"/>
  <c r="F29" i="14"/>
  <c r="F22" i="14"/>
  <c r="F34" i="14"/>
  <c r="F30" i="14"/>
  <c r="F17" i="14"/>
  <c r="C29" i="14"/>
  <c r="C39" i="14"/>
  <c r="F35" i="14"/>
  <c r="F12" i="13"/>
  <c r="C12" i="13"/>
  <c r="F26" i="13"/>
  <c r="F23" i="13"/>
  <c r="F22" i="13"/>
  <c r="F15" i="13"/>
  <c r="C16" i="13"/>
  <c r="C19" i="13"/>
  <c r="C15" i="13"/>
  <c r="F29" i="13"/>
  <c r="F30" i="13"/>
  <c r="F34" i="13"/>
  <c r="F19" i="13"/>
  <c r="F18" i="13"/>
  <c r="F17" i="13"/>
  <c r="F21" i="13"/>
  <c r="F33" i="13"/>
  <c r="F31" i="13"/>
  <c r="F20" i="13"/>
  <c r="C17" i="13"/>
  <c r="F32" i="13"/>
  <c r="F16" i="13"/>
  <c r="F35" i="13"/>
  <c r="C29" i="13"/>
  <c r="C39" i="13"/>
  <c r="F12" i="12"/>
  <c r="C12" i="12"/>
  <c r="C16" i="12"/>
  <c r="F15" i="12"/>
  <c r="F33" i="12"/>
  <c r="F18" i="12"/>
  <c r="F23" i="12"/>
  <c r="F17" i="12"/>
  <c r="F29" i="12"/>
  <c r="F19" i="12"/>
  <c r="F21" i="12"/>
  <c r="C21" i="12"/>
  <c r="C24" i="12"/>
  <c r="C15" i="12"/>
  <c r="F24" i="12"/>
  <c r="F20" i="12"/>
  <c r="C22" i="12"/>
  <c r="C28" i="12"/>
  <c r="F28" i="12"/>
  <c r="F22" i="12"/>
  <c r="F30" i="12"/>
  <c r="F25" i="12"/>
  <c r="F27" i="12"/>
  <c r="F26" i="12"/>
  <c r="F31" i="12"/>
  <c r="F13" i="11"/>
  <c r="C13" i="11"/>
  <c r="O23" i="12"/>
  <c r="O22" i="12"/>
  <c r="O21" i="12"/>
  <c r="O20" i="12"/>
  <c r="O19" i="12"/>
  <c r="L19" i="12"/>
  <c r="O18" i="12"/>
  <c r="O17" i="12"/>
  <c r="L16" i="12"/>
  <c r="L15" i="12"/>
  <c r="O12" i="12"/>
  <c r="O34" i="12"/>
  <c r="L12" i="12"/>
  <c r="L34" i="12"/>
  <c r="C23" i="11"/>
  <c r="F18" i="11"/>
  <c r="F20" i="11"/>
  <c r="F19" i="11"/>
  <c r="F28" i="11"/>
  <c r="F30" i="11"/>
  <c r="F21" i="11"/>
  <c r="F16" i="11"/>
  <c r="C17" i="11"/>
  <c r="F31" i="11"/>
  <c r="F27" i="11"/>
  <c r="F24" i="11"/>
  <c r="C16" i="11"/>
  <c r="F29" i="11"/>
  <c r="F22" i="11"/>
  <c r="C18" i="11"/>
  <c r="F25" i="11"/>
  <c r="C25" i="11"/>
  <c r="C33" i="11"/>
  <c r="O24" i="11"/>
  <c r="O23" i="11"/>
  <c r="O22" i="11"/>
  <c r="O21" i="11"/>
  <c r="O20" i="11"/>
  <c r="L20" i="11"/>
  <c r="O19" i="11"/>
  <c r="O18" i="11"/>
  <c r="L17" i="11"/>
  <c r="L16" i="11"/>
  <c r="O13" i="11"/>
  <c r="O33" i="11"/>
  <c r="L13" i="11"/>
  <c r="L37" i="11"/>
  <c r="F23" i="11"/>
  <c r="F33" i="11"/>
  <c r="F14" i="10"/>
  <c r="C14" i="10"/>
  <c r="C18" i="10"/>
  <c r="C19" i="10"/>
  <c r="F21" i="10"/>
  <c r="F31" i="10"/>
  <c r="F20" i="10"/>
  <c r="F29" i="10"/>
  <c r="C20" i="10"/>
  <c r="C26" i="10"/>
  <c r="F28" i="10"/>
  <c r="F16" i="10"/>
  <c r="F18" i="10"/>
  <c r="F22" i="10"/>
  <c r="F23" i="10"/>
  <c r="F24" i="10"/>
  <c r="F25" i="10"/>
  <c r="F26" i="10"/>
  <c r="F35" i="10"/>
  <c r="C15" i="10"/>
  <c r="C35" i="10"/>
  <c r="B11" i="9"/>
  <c r="D7" i="9"/>
  <c r="B7" i="9"/>
  <c r="B12" i="9"/>
  <c r="D19" i="9"/>
  <c r="D18" i="9"/>
  <c r="D17" i="9"/>
  <c r="D16" i="9"/>
  <c r="D13" i="9"/>
  <c r="D12" i="9"/>
  <c r="D11" i="9"/>
  <c r="B9" i="9"/>
  <c r="D30" i="9"/>
  <c r="D32" i="9"/>
  <c r="B4" i="1"/>
  <c r="D4" i="1"/>
  <c r="B5" i="1"/>
  <c r="D5" i="1"/>
  <c r="D6" i="1"/>
  <c r="B7" i="1"/>
  <c r="B8" i="1"/>
  <c r="B9" i="1"/>
  <c r="D9" i="1"/>
  <c r="D10" i="1"/>
  <c r="D11" i="1"/>
  <c r="D12" i="1"/>
  <c r="D13" i="1"/>
  <c r="B16" i="1"/>
  <c r="D16" i="1"/>
  <c r="D17" i="1"/>
  <c r="D18" i="1"/>
  <c r="B7" i="6"/>
  <c r="D7" i="6"/>
  <c r="B9" i="6"/>
  <c r="D9" i="6"/>
  <c r="B11" i="6"/>
  <c r="D11" i="6"/>
  <c r="B12" i="6"/>
  <c r="D12" i="6"/>
  <c r="D13" i="6"/>
  <c r="D16" i="6"/>
  <c r="D17" i="6"/>
  <c r="D18" i="6"/>
  <c r="D19" i="6"/>
  <c r="D20" i="6"/>
  <c r="D23" i="6"/>
  <c r="B29" i="6"/>
  <c r="D29" i="6"/>
  <c r="D31" i="6"/>
  <c r="B7" i="4"/>
  <c r="D7" i="4"/>
  <c r="B9" i="4"/>
  <c r="D9" i="4"/>
  <c r="B11" i="4"/>
  <c r="D11" i="4"/>
  <c r="B12" i="4"/>
  <c r="D12" i="4"/>
  <c r="D13" i="4"/>
  <c r="D16" i="4"/>
  <c r="D17" i="4"/>
  <c r="D18" i="4"/>
  <c r="D20" i="4"/>
  <c r="B26" i="4"/>
  <c r="D26" i="4"/>
  <c r="D28" i="4"/>
  <c r="B7" i="5"/>
  <c r="D7" i="5"/>
  <c r="B9" i="5"/>
  <c r="D9" i="5"/>
  <c r="B11" i="5"/>
  <c r="D11" i="5"/>
  <c r="B12" i="5"/>
  <c r="D12" i="5"/>
  <c r="D13" i="5"/>
  <c r="D16" i="5"/>
  <c r="D17" i="5"/>
  <c r="D18" i="5"/>
  <c r="D19" i="5"/>
  <c r="D20" i="5"/>
  <c r="D23" i="5"/>
  <c r="B29" i="5"/>
  <c r="D29" i="5"/>
  <c r="D31" i="5"/>
  <c r="B7" i="7"/>
  <c r="D7" i="7"/>
  <c r="B9" i="7"/>
  <c r="D9" i="7"/>
  <c r="B11" i="7"/>
  <c r="D11" i="7"/>
  <c r="B12" i="7"/>
  <c r="D12" i="7"/>
  <c r="D13" i="7"/>
  <c r="D14" i="7"/>
  <c r="D18" i="7"/>
  <c r="D19" i="7"/>
  <c r="D20" i="7"/>
  <c r="D21" i="7"/>
  <c r="D22" i="7"/>
  <c r="D25" i="7"/>
  <c r="D26" i="7"/>
  <c r="B30" i="7"/>
  <c r="D30" i="7"/>
  <c r="D32" i="7"/>
  <c r="B30" i="9"/>
  <c r="C38" i="10"/>
  <c r="C37" i="11"/>
  <c r="L33" i="11"/>
  <c r="L38" i="12"/>
  <c r="C38" i="12"/>
  <c r="C34" i="12"/>
  <c r="F34" i="12"/>
  <c r="C35" i="13"/>
  <c r="C35" i="14"/>
</calcChain>
</file>

<file path=xl/sharedStrings.xml><?xml version="1.0" encoding="utf-8"?>
<sst xmlns="http://schemas.openxmlformats.org/spreadsheetml/2006/main" count="401" uniqueCount="140">
  <si>
    <t>Vyúčtování sdružení Triangl 2006/2007:</t>
  </si>
  <si>
    <t>PŘÍJMY</t>
  </si>
  <si>
    <t>Kč</t>
  </si>
  <si>
    <t>VÝDAJE</t>
  </si>
  <si>
    <t>Příspěvky od rodičů</t>
  </si>
  <si>
    <t>Náklady lektoři</t>
  </si>
  <si>
    <t>Sběr papíru</t>
  </si>
  <si>
    <t>Knihy, výukové pomůcky</t>
  </si>
  <si>
    <t>Dary ples</t>
  </si>
  <si>
    <t>Náklady ples</t>
  </si>
  <si>
    <t>Dary ostatní</t>
  </si>
  <si>
    <t>Adopce zvířat v zoo</t>
  </si>
  <si>
    <t>Vstupenky ples</t>
  </si>
  <si>
    <t>Adopce na dálku</t>
  </si>
  <si>
    <t>Přijaté úroky z banky</t>
  </si>
  <si>
    <t>Poplatky spořitelna</t>
  </si>
  <si>
    <t>Účastnické poplatky v soutěžích</t>
  </si>
  <si>
    <t>Odměny soutěže, LVZ</t>
  </si>
  <si>
    <t>Odměny Mikuláš, čarodejnice, MDD</t>
  </si>
  <si>
    <t>Projekt Teplice v Čechách</t>
  </si>
  <si>
    <t>Konzultace - úsporná opatření</t>
  </si>
  <si>
    <t>Nádoby na tříděný odpad</t>
  </si>
  <si>
    <t>CELKEM</t>
  </si>
  <si>
    <t>Zůstatek na účtu k 31.08.2006</t>
  </si>
  <si>
    <t>Zůstatek na účtu k 31.08.2007</t>
  </si>
  <si>
    <t>Vyúčtování sdružení Triangl 2007/2008:</t>
  </si>
  <si>
    <t>Poplatky bance</t>
  </si>
  <si>
    <t>Projekt Divadlo - výměnná akce s německými studenty</t>
  </si>
  <si>
    <t>Plavání 6.třídy</t>
  </si>
  <si>
    <t>Tužky k zahájení školního roku</t>
  </si>
  <si>
    <t>Odměny olympiády Aj, Nj, Šj</t>
  </si>
  <si>
    <t>Odměny Mikuláš</t>
  </si>
  <si>
    <t>Školní družina - divadelní představení</t>
  </si>
  <si>
    <t>LVZ - nákup snowboardů</t>
  </si>
  <si>
    <t>Tabulky s orientačními šipkami</t>
  </si>
  <si>
    <t>Školní družina - dovybavení - skříňky, poličky</t>
  </si>
  <si>
    <t>Učebna Fyziky - dovybavení - uzamykatelné skříně na pomůcky</t>
  </si>
  <si>
    <t>Zůstatek na účtu k 31.03.2008</t>
  </si>
  <si>
    <t>Odměny soutěže, LVZ, sběr papíru</t>
  </si>
  <si>
    <t>Čarodějnice</t>
  </si>
  <si>
    <t>Koláče</t>
  </si>
  <si>
    <t>Kolky a poplatky</t>
  </si>
  <si>
    <t>Zůstatek na účtu k 30.06.2008</t>
  </si>
  <si>
    <t>Zůstatek na účtu k 31.08.2008</t>
  </si>
  <si>
    <t>Vyúčtování sdružení Triangl</t>
  </si>
  <si>
    <t>Vyúčtování sdružení Triangl K 31. 12. 2011</t>
  </si>
  <si>
    <t>Příjmy</t>
  </si>
  <si>
    <t>Výdaje</t>
  </si>
  <si>
    <t>Náklady lektoři - příspěvek Brewin J.</t>
  </si>
  <si>
    <t>vybráno na zálohu</t>
  </si>
  <si>
    <t>70 000,-</t>
  </si>
  <si>
    <t>čerpání</t>
  </si>
  <si>
    <t>Dar 1.tř.</t>
  </si>
  <si>
    <t>Odměny olympiády Aj, Nj, Šj, Fj, Ze, Mat</t>
  </si>
  <si>
    <t>Odměny olympiády Aj, Nj, Šj, Ze</t>
  </si>
  <si>
    <t>Odměny soutěže, LVZ, sběr papíru, švp</t>
  </si>
  <si>
    <t>Platba omylem (TRADAG s.r.o.)</t>
  </si>
  <si>
    <t>Školní družina - kulturní akce</t>
  </si>
  <si>
    <t>Platba omylem</t>
  </si>
  <si>
    <t>Platba bez identifikace</t>
  </si>
  <si>
    <t>Školní družina - hračky, čtyřlístek, ABC, míče</t>
  </si>
  <si>
    <t xml:space="preserve">Projekty - příjem </t>
  </si>
  <si>
    <t>Školní družina - vybavení</t>
  </si>
  <si>
    <t>Klubíčko - hračky</t>
  </si>
  <si>
    <t>Testy KALIBRO, SCIO</t>
  </si>
  <si>
    <t>Projekty</t>
  </si>
  <si>
    <t>Školní družina - divadlo + dílny</t>
  </si>
  <si>
    <t>Testy</t>
  </si>
  <si>
    <t>Ples</t>
  </si>
  <si>
    <t>Tabulové desky - 2.A</t>
  </si>
  <si>
    <t>Zálohy</t>
  </si>
  <si>
    <t>Barvy, štětce, kniha</t>
  </si>
  <si>
    <t>Čerpání daru 1.tř.</t>
  </si>
  <si>
    <t>Doplnění školní lékárničky</t>
  </si>
  <si>
    <t>Zůstatek na účtu k 31.08.2011</t>
  </si>
  <si>
    <t>Zůstatek na účtu k 31.08.2012</t>
  </si>
  <si>
    <t>Zůstatek na účtu k 31.12. 2011</t>
  </si>
  <si>
    <t>Vyúčtování sdružení Triangl k 31. 08. 2011</t>
  </si>
  <si>
    <t>Pronájem sálu na ples (Novodvorská)</t>
  </si>
  <si>
    <t>Kalibro, Scio</t>
  </si>
  <si>
    <t>Školní družina - hračky, čtyřlístek, míče</t>
  </si>
  <si>
    <t>Kanc.potřeby - toner</t>
  </si>
  <si>
    <t>Převod omylů (nesprávné č.ú.)</t>
  </si>
  <si>
    <t>OMYL</t>
  </si>
  <si>
    <t>Kalibro, Scio testy</t>
  </si>
  <si>
    <t>Konto Plaváček</t>
  </si>
  <si>
    <t>Vybavení lékáren</t>
  </si>
  <si>
    <t>Údržba hřiště</t>
  </si>
  <si>
    <t>Zůstatek na účtu k 31.08.2010</t>
  </si>
  <si>
    <t>Vyúčtování sdružení Triangl 2009/2010:</t>
  </si>
  <si>
    <t>Čarodějnice + koláče</t>
  </si>
  <si>
    <t>Rekonstr: malování tv+úprava zeleně+5 laveček</t>
  </si>
  <si>
    <t>Pohoštění MČ Prahy 4 na ukončení rekonstrukce školy</t>
  </si>
  <si>
    <t>Rozdíl z vyúčtování 06/05/2010 vyrovnán v 10/2010</t>
  </si>
  <si>
    <t>Zůstatek na účtu k 31.08.2009</t>
  </si>
  <si>
    <t>LVZ - nákup běžeckého vybavení</t>
  </si>
  <si>
    <t>LVZ - nákup vysílaček</t>
  </si>
  <si>
    <t xml:space="preserve">Projektové dny </t>
  </si>
  <si>
    <t>Příjímací řízení 3.třídy</t>
  </si>
  <si>
    <t>Rekonstrukce školy - zadávací dokumentace</t>
  </si>
  <si>
    <t>Rysovací potřeby pro 1.stupeň</t>
  </si>
  <si>
    <t>Testy Calibro a projekt Odyssea</t>
  </si>
  <si>
    <t>Údržba automatu na nápoje</t>
  </si>
  <si>
    <t>Vybavení chodeb - lavičky kovové a stolky</t>
  </si>
  <si>
    <t>T.Hron - učebnice z "Koláčů"</t>
  </si>
  <si>
    <t>Dary (p.Zeman)</t>
  </si>
  <si>
    <t>Odměny soutěže, LVZ, sběr papíru, švp, sporty</t>
  </si>
  <si>
    <t xml:space="preserve">Projekty - příjem (DZ) </t>
  </si>
  <si>
    <t>Školení</t>
  </si>
  <si>
    <t>Křovinořez</t>
  </si>
  <si>
    <t>Školní nábytek</t>
  </si>
  <si>
    <t>Čarodějnice, Mikuláš, Koláče</t>
  </si>
  <si>
    <t>Prezentace školy v Anglii, studenti</t>
  </si>
  <si>
    <t>Refundace - asistentky</t>
  </si>
  <si>
    <t>plavání 2.tříd</t>
  </si>
  <si>
    <t>Zůstatek na účtu k 31. 07. 2013</t>
  </si>
  <si>
    <t>T.Hron - učebnice z "Koláčů" - vratka</t>
  </si>
  <si>
    <t xml:space="preserve">Dary </t>
  </si>
  <si>
    <t>Školní družina - vybavení-stoly, materiál</t>
  </si>
  <si>
    <t>Projekty - materiál</t>
  </si>
  <si>
    <t>Testy Scio, Kalibro</t>
  </si>
  <si>
    <t>Venkovní stolní tenis - 2 stoly</t>
  </si>
  <si>
    <t>Nájezd pro invalidy a kočárky u hl.vchodu</t>
  </si>
  <si>
    <t>Venkovní koše na basketbal+volejbal</t>
  </si>
  <si>
    <t>Kamerový systém</t>
  </si>
  <si>
    <t>Zápis do 1.tříd</t>
  </si>
  <si>
    <t>Zůstatek na účtu k 31.07.2013</t>
  </si>
  <si>
    <t>Zůstatek na účtu k 31. 08. 2014</t>
  </si>
  <si>
    <t>Účast v soutěžích</t>
  </si>
  <si>
    <t>Odměny olympiády Aj, Nj, Šj, Fj, Ze, Mat, Che</t>
  </si>
  <si>
    <t>Školní družina - kulturní akce =divadlo, výlety</t>
  </si>
  <si>
    <t>Školní družina - materiál</t>
  </si>
  <si>
    <t>Projekty - materiál+vstupy</t>
  </si>
  <si>
    <t>Venkovní stolní tenis - pálky</t>
  </si>
  <si>
    <t>Knihovna-Changebook</t>
  </si>
  <si>
    <t>Jídelna - ozvučení</t>
  </si>
  <si>
    <t>Studovna - 3x PC+SW</t>
  </si>
  <si>
    <t>Návštěva Husince k výročí J.Husa</t>
  </si>
  <si>
    <t>Zůstatek na účtu k 31.08.2014</t>
  </si>
  <si>
    <t>Zůstatek na účtu k 31. 08.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</si>
</sst>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0"/>
      <name val="Arial CE"/>
      <charset val="238"/>
    </font>
    <font>
      <b/>
      <sz val="10"/>
      <name val="Arial CE"/>
      <family val="2"/>
      <charset val="238"/>
    </font>
    <font>
      <sz val="10"/>
      <color theme="3" tint="-0.499984740745262"/>
      <name val="Arial CE"/>
      <charset val="238"/>
    </font>
    <font>
      <b/>
      <sz val="10"/>
      <color theme="3" tint="-0.499984740745262"/>
      <name val="Arial CE"/>
      <charset val="238"/>
    </font>
    <font>
      <b/>
      <sz val="12"/>
      <color theme="3" tint="-0.499984740745262"/>
      <name val="Arial CE"/>
      <charset val="23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4" fontId="0" fillId="0" borderId="0" xfId="0" applyNumberFormat="1"/>
    <xf numFmtId="0" fontId="1" fillId="0" borderId="1" xfId="0" applyFont="1" applyBorder="1"/>
    <xf numFmtId="4" fontId="1" fillId="0" borderId="1" xfId="0" applyNumberFormat="1" applyFont="1" applyBorder="1"/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0" xfId="0" applyFont="1" applyAlignment="1"/>
    <xf numFmtId="4" fontId="1" fillId="0" borderId="0" xfId="0" applyNumberFormat="1" applyFont="1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/>
    <xf numFmtId="4" fontId="2" fillId="0" borderId="0" xfId="0" applyNumberFormat="1" applyFont="1"/>
    <xf numFmtId="0" fontId="2" fillId="0" borderId="0" xfId="0" applyFont="1" applyFill="1"/>
    <xf numFmtId="0" fontId="3" fillId="0" borderId="1" xfId="0" applyFont="1" applyBorder="1"/>
    <xf numFmtId="4" fontId="3" fillId="0" borderId="1" xfId="0" applyNumberFormat="1" applyFont="1" applyBorder="1"/>
    <xf numFmtId="4" fontId="3" fillId="0" borderId="0" xfId="0" applyNumberFormat="1" applyFont="1"/>
    <xf numFmtId="0" fontId="4" fillId="0" borderId="0" xfId="0" applyFont="1"/>
    <xf numFmtId="0" fontId="3" fillId="0" borderId="0" xfId="0" applyFont="1" applyBorder="1"/>
    <xf numFmtId="4" fontId="3" fillId="0" borderId="0" xfId="0" applyNumberFormat="1" applyFont="1" applyBorder="1"/>
    <xf numFmtId="4" fontId="3" fillId="0" borderId="0" xfId="0" applyNumberFormat="1" applyFont="1" applyFill="1"/>
    <xf numFmtId="4" fontId="2" fillId="0" borderId="0" xfId="0" applyNumberFormat="1" applyFont="1" applyFill="1"/>
    <xf numFmtId="0" fontId="0" fillId="0" borderId="1" xfId="0" applyBorder="1"/>
    <xf numFmtId="4" fontId="0" fillId="0" borderId="1" xfId="0" applyNumberFormat="1" applyBorder="1"/>
    <xf numFmtId="0" fontId="0" fillId="0" borderId="2" xfId="0" applyBorder="1"/>
    <xf numFmtId="4" fontId="0" fillId="0" borderId="2" xfId="0" applyNumberFormat="1" applyBorder="1"/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857250</xdr:colOff>
      <xdr:row>0</xdr:row>
      <xdr:rowOff>0</xdr:rowOff>
    </xdr:from>
    <xdr:to>
      <xdr:col>2</xdr:col>
      <xdr:colOff>1771650</xdr:colOff>
      <xdr:row>4</xdr:row>
      <xdr:rowOff>142875</xdr:rowOff>
    </xdr:to>
    <xdr:pic>
      <xdr:nvPicPr>
        <xdr:cNvPr id="1482" name="Picture 1" descr="K:\logo-triangl.jpg">
          <a:extLst>
            <a:ext uri="{FF2B5EF4-FFF2-40B4-BE49-F238E27FC236}">
              <a16:creationId xmlns:a16="http://schemas.microsoft.com/office/drawing/2014/main" id="{00000000-0008-0000-0200-0000CA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38450" y="0"/>
          <a:ext cx="914400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581025</xdr:colOff>
      <xdr:row>0</xdr:row>
      <xdr:rowOff>0</xdr:rowOff>
    </xdr:from>
    <xdr:to>
      <xdr:col>4</xdr:col>
      <xdr:colOff>276225</xdr:colOff>
      <xdr:row>5</xdr:row>
      <xdr:rowOff>28575</xdr:rowOff>
    </xdr:to>
    <xdr:pic>
      <xdr:nvPicPr>
        <xdr:cNvPr id="2" name="Picture 1" descr="K:\logo-triangl.jpg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52825" y="0"/>
          <a:ext cx="914400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857250</xdr:colOff>
      <xdr:row>0</xdr:row>
      <xdr:rowOff>0</xdr:rowOff>
    </xdr:from>
    <xdr:to>
      <xdr:col>2</xdr:col>
      <xdr:colOff>1771650</xdr:colOff>
      <xdr:row>4</xdr:row>
      <xdr:rowOff>142875</xdr:rowOff>
    </xdr:to>
    <xdr:pic>
      <xdr:nvPicPr>
        <xdr:cNvPr id="2506" name="Picture 1" descr="K:\logo-triangl.jpg">
          <a:extLst>
            <a:ext uri="{FF2B5EF4-FFF2-40B4-BE49-F238E27FC236}">
              <a16:creationId xmlns:a16="http://schemas.microsoft.com/office/drawing/2014/main" id="{00000000-0008-0000-0300-0000CA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38450" y="0"/>
          <a:ext cx="914400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857250</xdr:colOff>
      <xdr:row>0</xdr:row>
      <xdr:rowOff>0</xdr:rowOff>
    </xdr:from>
    <xdr:to>
      <xdr:col>2</xdr:col>
      <xdr:colOff>1771650</xdr:colOff>
      <xdr:row>4</xdr:row>
      <xdr:rowOff>142875</xdr:rowOff>
    </xdr:to>
    <xdr:pic>
      <xdr:nvPicPr>
        <xdr:cNvPr id="3530" name="Picture 1" descr="K:\logo-triangl.jpg">
          <a:extLst>
            <a:ext uri="{FF2B5EF4-FFF2-40B4-BE49-F238E27FC236}">
              <a16:creationId xmlns:a16="http://schemas.microsoft.com/office/drawing/2014/main" id="{00000000-0008-0000-0400-0000CA0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38450" y="0"/>
          <a:ext cx="914400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581025</xdr:colOff>
      <xdr:row>0</xdr:row>
      <xdr:rowOff>0</xdr:rowOff>
    </xdr:from>
    <xdr:to>
      <xdr:col>4</xdr:col>
      <xdr:colOff>276225</xdr:colOff>
      <xdr:row>5</xdr:row>
      <xdr:rowOff>28575</xdr:rowOff>
    </xdr:to>
    <xdr:pic>
      <xdr:nvPicPr>
        <xdr:cNvPr id="8764" name="Picture 1" descr="K:\logo-triangl.jpg">
          <a:extLst>
            <a:ext uri="{FF2B5EF4-FFF2-40B4-BE49-F238E27FC236}">
              <a16:creationId xmlns:a16="http://schemas.microsoft.com/office/drawing/2014/main" id="{00000000-0008-0000-0500-00003C2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52825" y="0"/>
          <a:ext cx="914400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581025</xdr:colOff>
      <xdr:row>0</xdr:row>
      <xdr:rowOff>0</xdr:rowOff>
    </xdr:from>
    <xdr:to>
      <xdr:col>13</xdr:col>
      <xdr:colOff>209550</xdr:colOff>
      <xdr:row>5</xdr:row>
      <xdr:rowOff>28575</xdr:rowOff>
    </xdr:to>
    <xdr:pic>
      <xdr:nvPicPr>
        <xdr:cNvPr id="8765" name="Picture 1" descr="K:\logo-triangl.jpg">
          <a:extLst>
            <a:ext uri="{FF2B5EF4-FFF2-40B4-BE49-F238E27FC236}">
              <a16:creationId xmlns:a16="http://schemas.microsoft.com/office/drawing/2014/main" id="{00000000-0008-0000-0500-00003D2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163550" y="0"/>
          <a:ext cx="914400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742950</xdr:colOff>
      <xdr:row>0</xdr:row>
      <xdr:rowOff>0</xdr:rowOff>
    </xdr:from>
    <xdr:to>
      <xdr:col>4</xdr:col>
      <xdr:colOff>1657350</xdr:colOff>
      <xdr:row>4</xdr:row>
      <xdr:rowOff>142875</xdr:rowOff>
    </xdr:to>
    <xdr:pic>
      <xdr:nvPicPr>
        <xdr:cNvPr id="7553" name="Picture 1" descr="K:\logo-triangl.jpg">
          <a:extLst>
            <a:ext uri="{FF2B5EF4-FFF2-40B4-BE49-F238E27FC236}">
              <a16:creationId xmlns:a16="http://schemas.microsoft.com/office/drawing/2014/main" id="{00000000-0008-0000-0600-0000811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067300" y="0"/>
          <a:ext cx="914400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857250</xdr:colOff>
      <xdr:row>0</xdr:row>
      <xdr:rowOff>0</xdr:rowOff>
    </xdr:from>
    <xdr:to>
      <xdr:col>2</xdr:col>
      <xdr:colOff>1771650</xdr:colOff>
      <xdr:row>4</xdr:row>
      <xdr:rowOff>142875</xdr:rowOff>
    </xdr:to>
    <xdr:pic>
      <xdr:nvPicPr>
        <xdr:cNvPr id="6971" name="Picture 1" descr="K:\logo-triangl.jpg">
          <a:extLst>
            <a:ext uri="{FF2B5EF4-FFF2-40B4-BE49-F238E27FC236}">
              <a16:creationId xmlns:a16="http://schemas.microsoft.com/office/drawing/2014/main" id="{00000000-0008-0000-0700-00003B1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86100" y="0"/>
          <a:ext cx="914400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857250</xdr:colOff>
      <xdr:row>0</xdr:row>
      <xdr:rowOff>0</xdr:rowOff>
    </xdr:from>
    <xdr:to>
      <xdr:col>2</xdr:col>
      <xdr:colOff>1771650</xdr:colOff>
      <xdr:row>4</xdr:row>
      <xdr:rowOff>142875</xdr:rowOff>
    </xdr:to>
    <xdr:pic>
      <xdr:nvPicPr>
        <xdr:cNvPr id="6972" name="Picture 1" descr="K:\logo-triangl.jpg">
          <a:extLst>
            <a:ext uri="{FF2B5EF4-FFF2-40B4-BE49-F238E27FC236}">
              <a16:creationId xmlns:a16="http://schemas.microsoft.com/office/drawing/2014/main" id="{00000000-0008-0000-0700-00003C1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86100" y="0"/>
          <a:ext cx="914400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857250</xdr:colOff>
      <xdr:row>0</xdr:row>
      <xdr:rowOff>0</xdr:rowOff>
    </xdr:from>
    <xdr:to>
      <xdr:col>2</xdr:col>
      <xdr:colOff>1771650</xdr:colOff>
      <xdr:row>4</xdr:row>
      <xdr:rowOff>142875</xdr:rowOff>
    </xdr:to>
    <xdr:pic>
      <xdr:nvPicPr>
        <xdr:cNvPr id="4554" name="Picture 1" descr="K:\logo-triangl.jpg">
          <a:extLst>
            <a:ext uri="{FF2B5EF4-FFF2-40B4-BE49-F238E27FC236}">
              <a16:creationId xmlns:a16="http://schemas.microsoft.com/office/drawing/2014/main" id="{00000000-0008-0000-0800-0000CA1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38450" y="0"/>
          <a:ext cx="914400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581025</xdr:colOff>
      <xdr:row>0</xdr:row>
      <xdr:rowOff>0</xdr:rowOff>
    </xdr:from>
    <xdr:to>
      <xdr:col>4</xdr:col>
      <xdr:colOff>276225</xdr:colOff>
      <xdr:row>5</xdr:row>
      <xdr:rowOff>28575</xdr:rowOff>
    </xdr:to>
    <xdr:pic>
      <xdr:nvPicPr>
        <xdr:cNvPr id="10589" name="Picture 1" descr="K:\logo-triangl.jpg">
          <a:extLst>
            <a:ext uri="{FF2B5EF4-FFF2-40B4-BE49-F238E27FC236}">
              <a16:creationId xmlns:a16="http://schemas.microsoft.com/office/drawing/2014/main" id="{00000000-0008-0000-0900-00005D2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52825" y="0"/>
          <a:ext cx="914400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581025</xdr:colOff>
      <xdr:row>0</xdr:row>
      <xdr:rowOff>0</xdr:rowOff>
    </xdr:from>
    <xdr:to>
      <xdr:col>13</xdr:col>
      <xdr:colOff>209550</xdr:colOff>
      <xdr:row>5</xdr:row>
      <xdr:rowOff>28575</xdr:rowOff>
    </xdr:to>
    <xdr:pic>
      <xdr:nvPicPr>
        <xdr:cNvPr id="10590" name="Picture 1" descr="K:\logo-triangl.jpg">
          <a:extLst>
            <a:ext uri="{FF2B5EF4-FFF2-40B4-BE49-F238E27FC236}">
              <a16:creationId xmlns:a16="http://schemas.microsoft.com/office/drawing/2014/main" id="{00000000-0008-0000-0900-00005E2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163550" y="0"/>
          <a:ext cx="914400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581025</xdr:colOff>
      <xdr:row>0</xdr:row>
      <xdr:rowOff>0</xdr:rowOff>
    </xdr:from>
    <xdr:to>
      <xdr:col>4</xdr:col>
      <xdr:colOff>276225</xdr:colOff>
      <xdr:row>5</xdr:row>
      <xdr:rowOff>28575</xdr:rowOff>
    </xdr:to>
    <xdr:pic>
      <xdr:nvPicPr>
        <xdr:cNvPr id="11285" name="Picture 1" descr="K:\logo-triangl.jpg">
          <a:extLst>
            <a:ext uri="{FF2B5EF4-FFF2-40B4-BE49-F238E27FC236}">
              <a16:creationId xmlns:a16="http://schemas.microsoft.com/office/drawing/2014/main" id="{00000000-0008-0000-0A00-0000152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52825" y="0"/>
          <a:ext cx="914400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workbookViewId="0">
      <selection activeCell="A32" sqref="A32"/>
    </sheetView>
  </sheetViews>
  <sheetFormatPr defaultRowHeight="12.75"/>
  <cols>
    <col min="1" max="1" width="19.5703125" customWidth="1"/>
    <col min="2" max="2" width="10.140625" bestFit="1" customWidth="1"/>
    <col min="3" max="3" width="31.5703125" bestFit="1" customWidth="1"/>
    <col min="4" max="4" width="10.140625" bestFit="1" customWidth="1"/>
  </cols>
  <sheetData>
    <row r="1" spans="1:4">
      <c r="A1" t="s">
        <v>0</v>
      </c>
    </row>
    <row r="3" spans="1:4">
      <c r="A3" s="4" t="s">
        <v>1</v>
      </c>
      <c r="B3" s="5" t="s">
        <v>2</v>
      </c>
      <c r="C3" s="6" t="s">
        <v>3</v>
      </c>
      <c r="D3" s="5" t="s">
        <v>2</v>
      </c>
    </row>
    <row r="4" spans="1:4">
      <c r="A4" t="s">
        <v>4</v>
      </c>
      <c r="B4" s="1">
        <f>26*700+32550+16800+8500+64*700+4*500+2*400+4*800+600+350+35820+8*700+600+1000+12*700+9*700+2490+3*700+500+2*700+1000+4*700+2*700+3*700+500</f>
        <v>199810</v>
      </c>
      <c r="C4" t="s">
        <v>5</v>
      </c>
      <c r="D4" s="1">
        <f>7000+2000+7000+500+530+7000+7000+7000+7000+7000+7000+7000+7000+7000+2000+500+71.5+297.5</f>
        <v>82899</v>
      </c>
    </row>
    <row r="5" spans="1:4">
      <c r="A5" t="s">
        <v>6</v>
      </c>
      <c r="B5" s="1">
        <f>2380+984+369+1522+1284</f>
        <v>6539</v>
      </c>
      <c r="C5" t="s">
        <v>7</v>
      </c>
      <c r="D5" s="1">
        <f>1000+986+10704+6400+1982.5+36+200+57+1890</f>
        <v>23255.5</v>
      </c>
    </row>
    <row r="6" spans="1:4">
      <c r="A6" t="s">
        <v>8</v>
      </c>
      <c r="B6" s="1">
        <v>20000</v>
      </c>
      <c r="C6" t="s">
        <v>9</v>
      </c>
      <c r="D6" s="1">
        <f>94070-3369</f>
        <v>90701</v>
      </c>
    </row>
    <row r="7" spans="1:4">
      <c r="A7" t="s">
        <v>10</v>
      </c>
      <c r="B7" s="1">
        <f>5000+3000+5000</f>
        <v>13000</v>
      </c>
      <c r="C7" t="s">
        <v>11</v>
      </c>
      <c r="D7" s="1">
        <v>1500</v>
      </c>
    </row>
    <row r="8" spans="1:4">
      <c r="A8" t="s">
        <v>12</v>
      </c>
      <c r="B8" s="1">
        <f>65000+2100+4200</f>
        <v>71300</v>
      </c>
      <c r="C8" t="s">
        <v>13</v>
      </c>
      <c r="D8" s="1">
        <v>399</v>
      </c>
    </row>
    <row r="9" spans="1:4">
      <c r="A9" t="s">
        <v>14</v>
      </c>
      <c r="B9" s="1">
        <f>6.04+13.24+17.22+18.15+12.9+14.43+15+14.04+13.75+11.53+9.12+9.02</f>
        <v>154.44</v>
      </c>
      <c r="C9" t="s">
        <v>15</v>
      </c>
      <c r="D9" s="1">
        <f>8+8+4+2+75+13+32+45+60+10+2+10+2+2+2+6+2+2+2+4+8+6+4+2+2+2+2+2+4+2+75+6+425+2+48+135+39+2+4+4+2+2+4+4+2+4+4+10+4+2+170+45+24+100+90+27+4+2+2+2+35+45+2+40+100+105+22.5+2+2+30+45+2+32+100+45+22.5+2+2+15+45+4+32+100+90+22.5+5+45+24+100+90+22.5+4+2+2+25+45+8+100+45+22.5+45+2+24+100+60+22.5+2+45+4+16+100+90+22.5+45+16+100+90+22.5+7.5+15+45+100</f>
        <v>4025.5</v>
      </c>
    </row>
    <row r="10" spans="1:4">
      <c r="B10" s="1"/>
      <c r="C10" t="s">
        <v>16</v>
      </c>
      <c r="D10" s="1">
        <f>5100+1410</f>
        <v>6510</v>
      </c>
    </row>
    <row r="11" spans="1:4">
      <c r="B11" s="1"/>
      <c r="C11" t="s">
        <v>17</v>
      </c>
      <c r="D11" s="1">
        <f>1316+48+566+500+520+48+1096+999+290+879+1964.6</f>
        <v>8226.6</v>
      </c>
    </row>
    <row r="12" spans="1:4">
      <c r="B12" s="1"/>
      <c r="C12" t="s">
        <v>18</v>
      </c>
      <c r="D12" s="1">
        <f>431+528+135+119+5357.9+400+230+1698+500+1343</f>
        <v>10741.9</v>
      </c>
    </row>
    <row r="13" spans="1:4">
      <c r="B13" s="1"/>
      <c r="C13" t="s">
        <v>19</v>
      </c>
      <c r="D13" s="1">
        <f>5079+5000</f>
        <v>10079</v>
      </c>
    </row>
    <row r="14" spans="1:4">
      <c r="B14" s="1"/>
      <c r="C14" t="s">
        <v>20</v>
      </c>
      <c r="D14" s="1">
        <v>2454</v>
      </c>
    </row>
    <row r="15" spans="1:4">
      <c r="B15" s="1"/>
      <c r="C15" t="s">
        <v>21</v>
      </c>
      <c r="D15" s="1">
        <v>26061</v>
      </c>
    </row>
    <row r="16" spans="1:4" ht="13.5" thickBot="1">
      <c r="A16" s="2" t="s">
        <v>22</v>
      </c>
      <c r="B16" s="3">
        <f>SUM(B4:B15)</f>
        <v>310803.44</v>
      </c>
      <c r="C16" s="3" t="s">
        <v>22</v>
      </c>
      <c r="D16" s="3">
        <f>SUM(D4:D15)</f>
        <v>266852.5</v>
      </c>
    </row>
    <row r="17" spans="1:4">
      <c r="A17" s="4" t="s">
        <v>23</v>
      </c>
      <c r="B17" s="1"/>
      <c r="D17" s="7">
        <f>60643.66</f>
        <v>60643.66</v>
      </c>
    </row>
    <row r="18" spans="1:4">
      <c r="A18" s="4" t="s">
        <v>24</v>
      </c>
      <c r="D18" s="7">
        <f>D17+SUM(B4:B9)-SUM(D4:D15)</f>
        <v>104594.59999999998</v>
      </c>
    </row>
  </sheetData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"/>
  <sheetViews>
    <sheetView workbookViewId="0">
      <selection activeCell="E17" sqref="E17"/>
    </sheetView>
  </sheetViews>
  <sheetFormatPr defaultRowHeight="12.75"/>
  <cols>
    <col min="1" max="1" width="3.140625" customWidth="1"/>
    <col min="2" max="2" width="41.42578125" customWidth="1"/>
    <col min="3" max="3" width="12.85546875" style="1" customWidth="1"/>
    <col min="4" max="4" width="5.42578125" customWidth="1"/>
    <col min="5" max="5" width="45" bestFit="1" customWidth="1"/>
    <col min="6" max="6" width="12.85546875" style="1" customWidth="1"/>
    <col min="9" max="9" width="16" bestFit="1" customWidth="1"/>
  </cols>
  <sheetData>
    <row r="1" spans="1:6" ht="12" customHeight="1"/>
    <row r="2" spans="1:6" ht="12" customHeight="1"/>
    <row r="3" spans="1:6" ht="12" customHeight="1"/>
    <row r="4" spans="1:6" ht="12" customHeight="1"/>
    <row r="5" spans="1:6" ht="12" customHeight="1"/>
    <row r="6" spans="1:6" ht="12" customHeight="1"/>
    <row r="7" spans="1:6" ht="15.75">
      <c r="A7" s="17" t="s">
        <v>44</v>
      </c>
    </row>
    <row r="10" spans="1:6">
      <c r="B10" t="s">
        <v>46</v>
      </c>
      <c r="E10" t="s">
        <v>47</v>
      </c>
    </row>
    <row r="12" spans="1:6">
      <c r="B12" s="8" t="s">
        <v>14</v>
      </c>
      <c r="C12" s="1">
        <f>2.27+2.32+2.72+2.98+3.11+3.1+2.67+2.81+2.67+2.55+2.42+2.71+2.49</f>
        <v>34.82</v>
      </c>
      <c r="E12" s="8" t="s">
        <v>26</v>
      </c>
      <c r="F12" s="1">
        <f>169+1097+1193+397+303+200.59+290.51+188.53+429.51+191.48+183.46+170.51+172.47</f>
        <v>4986.0600000000004</v>
      </c>
    </row>
    <row r="15" spans="1:6">
      <c r="B15" s="8" t="s">
        <v>4</v>
      </c>
      <c r="C15" s="1">
        <f>114806-406+118400-1600-1080+27230+10000+5980-3180+21195-2440-2040-1980-2160-1875+180+2800+21700+3255-1155+700</f>
        <v>308330</v>
      </c>
      <c r="E15" s="8" t="s">
        <v>48</v>
      </c>
      <c r="F15" s="1">
        <f>7000*13</f>
        <v>91000</v>
      </c>
    </row>
    <row r="16" spans="1:6">
      <c r="B16" s="8" t="s">
        <v>6</v>
      </c>
      <c r="C16" s="1">
        <f>3180+1875+1155+2205</f>
        <v>8415</v>
      </c>
      <c r="E16" t="s">
        <v>116</v>
      </c>
      <c r="F16" s="1">
        <f>-406</f>
        <v>-406</v>
      </c>
    </row>
    <row r="17" spans="2:6">
      <c r="B17" s="8" t="s">
        <v>117</v>
      </c>
      <c r="C17" s="1">
        <f>20000+5000</f>
        <v>25000</v>
      </c>
      <c r="E17" s="8" t="s">
        <v>53</v>
      </c>
      <c r="F17" s="1">
        <f>219+96+400+1200+800+1300+600+365+1000+1306-211-147</f>
        <v>6928</v>
      </c>
    </row>
    <row r="18" spans="2:6">
      <c r="E18" s="8" t="s">
        <v>106</v>
      </c>
      <c r="F18" s="1">
        <f>1872+648+500+65+322+500*2+132+998</f>
        <v>5537</v>
      </c>
    </row>
    <row r="19" spans="2:6">
      <c r="B19" t="s">
        <v>68</v>
      </c>
      <c r="C19" s="1">
        <f>44015</f>
        <v>44015</v>
      </c>
      <c r="E19" s="8" t="s">
        <v>57</v>
      </c>
      <c r="F19" s="1">
        <f>2145+800+1040+1450+2535</f>
        <v>7970</v>
      </c>
    </row>
    <row r="20" spans="2:6">
      <c r="E20" s="8" t="s">
        <v>60</v>
      </c>
      <c r="F20" s="1">
        <f>7311+2100+4200+350</f>
        <v>13961</v>
      </c>
    </row>
    <row r="21" spans="2:6">
      <c r="E21" s="8" t="s">
        <v>118</v>
      </c>
      <c r="F21" s="1">
        <f>3705+2387+100-20+528</f>
        <v>6700</v>
      </c>
    </row>
    <row r="22" spans="2:6">
      <c r="E22" s="8" t="s">
        <v>119</v>
      </c>
      <c r="F22" s="1">
        <f>5038+2400+1700+975+485+975</f>
        <v>11573</v>
      </c>
    </row>
    <row r="23" spans="2:6">
      <c r="B23" s="8"/>
      <c r="E23" s="8" t="s">
        <v>120</v>
      </c>
      <c r="F23" s="1">
        <f>4767+7050.7+2174</f>
        <v>13991.7</v>
      </c>
    </row>
    <row r="24" spans="2:6">
      <c r="E24" s="8" t="s">
        <v>121</v>
      </c>
      <c r="F24" s="1">
        <v>23180</v>
      </c>
    </row>
    <row r="25" spans="2:6">
      <c r="E25" s="8" t="s">
        <v>122</v>
      </c>
      <c r="F25" s="1">
        <v>6250</v>
      </c>
    </row>
    <row r="26" spans="2:6">
      <c r="E26" s="8" t="s">
        <v>110</v>
      </c>
      <c r="F26" s="1">
        <f>43076</f>
        <v>43076</v>
      </c>
    </row>
    <row r="27" spans="2:6">
      <c r="E27" s="8" t="s">
        <v>123</v>
      </c>
      <c r="F27" s="1">
        <v>58620</v>
      </c>
    </row>
    <row r="28" spans="2:6">
      <c r="E28" s="8" t="s">
        <v>124</v>
      </c>
      <c r="F28" s="1">
        <v>100000</v>
      </c>
    </row>
    <row r="29" spans="2:6">
      <c r="B29" t="s">
        <v>83</v>
      </c>
      <c r="C29" s="1">
        <f>640-640+3360-3360+320-320+450+1500-1500-450+450-450+2500-2500</f>
        <v>0</v>
      </c>
      <c r="E29" s="8" t="s">
        <v>68</v>
      </c>
      <c r="F29" s="1">
        <f>1360+32724.45+1077</f>
        <v>35161.449999999997</v>
      </c>
    </row>
    <row r="30" spans="2:6">
      <c r="E30" s="8" t="s">
        <v>111</v>
      </c>
      <c r="F30" s="1">
        <f>26207-1733+555+1366</f>
        <v>26395</v>
      </c>
    </row>
    <row r="31" spans="2:6">
      <c r="E31" s="8" t="s">
        <v>112</v>
      </c>
      <c r="F31" s="1">
        <f>270+122+500</f>
        <v>892</v>
      </c>
    </row>
    <row r="32" spans="2:6">
      <c r="E32" s="8" t="s">
        <v>113</v>
      </c>
      <c r="F32" s="1">
        <f>1800</f>
        <v>1800</v>
      </c>
    </row>
    <row r="33" spans="2:6">
      <c r="E33" s="8" t="s">
        <v>125</v>
      </c>
      <c r="F33" s="1">
        <f>538</f>
        <v>538</v>
      </c>
    </row>
    <row r="34" spans="2:6" ht="13.5" thickBot="1">
      <c r="B34" s="22"/>
      <c r="D34" s="22"/>
      <c r="E34" s="22" t="s">
        <v>73</v>
      </c>
      <c r="F34" s="23">
        <f>2709+1990+1733+211+147+2717+591+1680</f>
        <v>11778</v>
      </c>
    </row>
    <row r="35" spans="2:6" ht="13.5" thickBot="1">
      <c r="B35" s="24" t="s">
        <v>22</v>
      </c>
      <c r="C35" s="25">
        <f>SUM(C12:C34)</f>
        <v>385794.82</v>
      </c>
      <c r="D35" s="24"/>
      <c r="E35" s="24" t="s">
        <v>22</v>
      </c>
      <c r="F35" s="25">
        <f>SUM(F12:F34)</f>
        <v>469931.21</v>
      </c>
    </row>
    <row r="38" spans="2:6">
      <c r="B38" s="9" t="s">
        <v>126</v>
      </c>
      <c r="C38" s="1">
        <v>267818.43</v>
      </c>
    </row>
    <row r="39" spans="2:6">
      <c r="B39" s="9" t="s">
        <v>127</v>
      </c>
      <c r="C39" s="1">
        <f>C38+SUM(C12:C34)-SUM(F12:F34)</f>
        <v>183682.03999999998</v>
      </c>
    </row>
  </sheetData>
  <pageMargins left="1.6141732283464567" right="0.23622047244094491" top="0.74803149606299213" bottom="0.74803149606299213" header="0.31496062992125984" footer="0.31496062992125984"/>
  <pageSetup paperSize="9" orientation="landscape" copies="2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"/>
  <sheetViews>
    <sheetView tabSelected="1" workbookViewId="0">
      <selection activeCell="F23" sqref="F23"/>
    </sheetView>
  </sheetViews>
  <sheetFormatPr defaultRowHeight="12.75"/>
  <cols>
    <col min="1" max="1" width="3.140625" customWidth="1"/>
    <col min="2" max="2" width="41.42578125" customWidth="1"/>
    <col min="3" max="3" width="12.85546875" style="1" customWidth="1"/>
    <col min="4" max="4" width="5.42578125" customWidth="1"/>
    <col min="5" max="5" width="45" bestFit="1" customWidth="1"/>
    <col min="6" max="6" width="12.85546875" style="1" customWidth="1"/>
    <col min="9" max="9" width="16" bestFit="1" customWidth="1"/>
  </cols>
  <sheetData>
    <row r="1" spans="1:6" ht="12" customHeight="1"/>
    <row r="2" spans="1:6" ht="12" customHeight="1"/>
    <row r="3" spans="1:6" ht="12" customHeight="1"/>
    <row r="4" spans="1:6" ht="12" customHeight="1"/>
    <row r="5" spans="1:6" ht="12" customHeight="1"/>
    <row r="6" spans="1:6" ht="12" customHeight="1"/>
    <row r="7" spans="1:6" ht="15.75">
      <c r="A7" s="17" t="s">
        <v>44</v>
      </c>
    </row>
    <row r="10" spans="1:6">
      <c r="B10" t="s">
        <v>46</v>
      </c>
      <c r="E10" t="s">
        <v>47</v>
      </c>
    </row>
    <row r="12" spans="1:6">
      <c r="B12" s="8" t="s">
        <v>14</v>
      </c>
      <c r="C12" s="1">
        <f>1.78+3.09+3.43+3.53+3.46+3.17+3.4+3.07+2.9+2.66+1.99+1.93</f>
        <v>34.409999999999997</v>
      </c>
      <c r="E12" s="8" t="s">
        <v>26</v>
      </c>
      <c r="F12" s="1">
        <f>1293.34+1174.59+355.65+198.67+169.66+335.6+205.65+172.58+172.55+181.51+155.38+150.37</f>
        <v>4565.55</v>
      </c>
    </row>
    <row r="15" spans="1:6">
      <c r="B15" s="8" t="s">
        <v>4</v>
      </c>
      <c r="C15" s="1">
        <f>130640+112750+22700+4500+1050+25915-1680-2415-2520-3680-2520+5200-1500-3000+1400+700</f>
        <v>287540</v>
      </c>
      <c r="E15" s="8" t="s">
        <v>48</v>
      </c>
      <c r="F15" s="1">
        <f>7000*12</f>
        <v>84000</v>
      </c>
    </row>
    <row r="16" spans="1:6">
      <c r="B16" s="8" t="s">
        <v>6</v>
      </c>
      <c r="C16" s="1">
        <f>2415+3300</f>
        <v>5715</v>
      </c>
      <c r="E16" t="s">
        <v>128</v>
      </c>
      <c r="F16" s="1">
        <v>2400</v>
      </c>
    </row>
    <row r="17" spans="2:6">
      <c r="B17" s="8" t="s">
        <v>117</v>
      </c>
      <c r="C17" s="1">
        <v>6000</v>
      </c>
      <c r="E17" s="8" t="s">
        <v>129</v>
      </c>
      <c r="F17" s="1">
        <f>1200+1200+1600+700</f>
        <v>4700</v>
      </c>
    </row>
    <row r="18" spans="2:6">
      <c r="E18" s="8" t="s">
        <v>106</v>
      </c>
      <c r="F18" s="1">
        <f>2496+693+391+400+500+500+399+500+519+132</f>
        <v>6530</v>
      </c>
    </row>
    <row r="19" spans="2:6">
      <c r="B19" t="s">
        <v>68</v>
      </c>
      <c r="C19" s="1">
        <v>54800</v>
      </c>
      <c r="E19" s="8" t="s">
        <v>130</v>
      </c>
      <c r="F19" s="1">
        <f>230+1760+3010+770+180</f>
        <v>5950</v>
      </c>
    </row>
    <row r="20" spans="2:6">
      <c r="E20" s="8" t="s">
        <v>60</v>
      </c>
      <c r="F20" s="1">
        <f>4800+2850+3840</f>
        <v>11490</v>
      </c>
    </row>
    <row r="21" spans="2:6">
      <c r="E21" s="8" t="s">
        <v>131</v>
      </c>
      <c r="F21" s="1">
        <f>478+546+816</f>
        <v>1840</v>
      </c>
    </row>
    <row r="22" spans="2:6">
      <c r="E22" s="8" t="s">
        <v>132</v>
      </c>
      <c r="F22" s="1">
        <f>8190+7000+233+21613+1080</f>
        <v>38116</v>
      </c>
    </row>
    <row r="23" spans="2:6">
      <c r="B23" s="8"/>
      <c r="E23" s="8" t="s">
        <v>120</v>
      </c>
      <c r="F23" s="1">
        <f>3852+1820+3572+3647</f>
        <v>12891</v>
      </c>
    </row>
    <row r="24" spans="2:6">
      <c r="E24" s="8" t="s">
        <v>133</v>
      </c>
      <c r="F24" s="1">
        <v>434</v>
      </c>
    </row>
    <row r="25" spans="2:6">
      <c r="E25" s="8" t="s">
        <v>134</v>
      </c>
      <c r="F25" s="1">
        <v>2238.5</v>
      </c>
    </row>
    <row r="26" spans="2:6">
      <c r="E26" s="8" t="s">
        <v>135</v>
      </c>
      <c r="F26" s="1">
        <v>9380</v>
      </c>
    </row>
    <row r="27" spans="2:6">
      <c r="E27" s="8" t="s">
        <v>136</v>
      </c>
      <c r="F27" s="1">
        <f>43205.27+5434.11</f>
        <v>48639.38</v>
      </c>
    </row>
    <row r="28" spans="2:6">
      <c r="E28" s="8" t="s">
        <v>137</v>
      </c>
      <c r="F28" s="1">
        <v>11687</v>
      </c>
    </row>
    <row r="29" spans="2:6">
      <c r="B29" t="s">
        <v>83</v>
      </c>
      <c r="C29" s="1">
        <f>640-640+3360-3360+320-320+450+1500-1500-450+450-450+2500-2500</f>
        <v>0</v>
      </c>
      <c r="E29" s="8" t="s">
        <v>68</v>
      </c>
      <c r="F29" s="1">
        <f>36350+65+2450</f>
        <v>38865</v>
      </c>
    </row>
    <row r="30" spans="2:6">
      <c r="E30" s="8" t="s">
        <v>111</v>
      </c>
      <c r="F30" s="1">
        <f>448+1314+700+1600+16028+5000+360+298</f>
        <v>25748</v>
      </c>
    </row>
    <row r="31" spans="2:6">
      <c r="E31" s="8" t="s">
        <v>112</v>
      </c>
    </row>
    <row r="32" spans="2:6">
      <c r="E32" s="8"/>
    </row>
    <row r="33" spans="2:6">
      <c r="E33" s="8" t="s">
        <v>125</v>
      </c>
    </row>
    <row r="34" spans="2:6" ht="13.5" thickBot="1">
      <c r="B34" s="22"/>
      <c r="D34" s="22"/>
      <c r="E34" s="22" t="s">
        <v>73</v>
      </c>
      <c r="F34" s="23">
        <f>270+331+45+1473+256+803+3507+166</f>
        <v>6851</v>
      </c>
    </row>
    <row r="35" spans="2:6" ht="13.5" thickBot="1">
      <c r="B35" s="24" t="s">
        <v>22</v>
      </c>
      <c r="C35" s="25">
        <f>SUM(C12:C34)</f>
        <v>354089.41</v>
      </c>
      <c r="D35" s="24"/>
      <c r="E35" s="24" t="s">
        <v>22</v>
      </c>
      <c r="F35" s="25">
        <f>SUM(F12:F34)</f>
        <v>316325.43</v>
      </c>
    </row>
    <row r="38" spans="2:6">
      <c r="B38" s="9" t="s">
        <v>138</v>
      </c>
      <c r="C38" s="1">
        <v>183682.04</v>
      </c>
    </row>
    <row r="39" spans="2:6">
      <c r="B39" s="9" t="s">
        <v>139</v>
      </c>
      <c r="C39" s="1">
        <f>C38+SUM(C12:C34)-SUM(F12:F34)</f>
        <v>221446.01999999996</v>
      </c>
    </row>
  </sheetData>
  <pageMargins left="1.6141732283464567" right="0.23622047244094491" top="0.74803149606299213" bottom="0.74803149606299213" header="0.31496062992125984" footer="0.31496062992125984"/>
  <pageSetup paperSize="9" orientation="landscape" copies="2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"/>
  <sheetViews>
    <sheetView workbookViewId="0">
      <selection activeCell="C28" sqref="C28"/>
    </sheetView>
  </sheetViews>
  <sheetFormatPr defaultRowHeight="12.75"/>
  <cols>
    <col min="1" max="1" width="19.5703125" customWidth="1"/>
    <col min="2" max="2" width="10.140625" bestFit="1" customWidth="1"/>
    <col min="3" max="3" width="55.140625" bestFit="1" customWidth="1"/>
    <col min="4" max="4" width="10.140625" bestFit="1" customWidth="1"/>
  </cols>
  <sheetData>
    <row r="1" spans="1:4">
      <c r="A1" t="s">
        <v>25</v>
      </c>
    </row>
    <row r="6" spans="1:4">
      <c r="A6" s="4" t="s">
        <v>1</v>
      </c>
      <c r="B6" s="5" t="s">
        <v>2</v>
      </c>
      <c r="C6" s="6" t="s">
        <v>3</v>
      </c>
      <c r="D6" s="5" t="s">
        <v>2</v>
      </c>
    </row>
    <row r="7" spans="1:4">
      <c r="A7" t="s">
        <v>14</v>
      </c>
      <c r="B7" s="1">
        <f>8.63+19.33+15.9+13.88+12.6+10.27+16.23</f>
        <v>96.84</v>
      </c>
      <c r="C7" t="s">
        <v>26</v>
      </c>
      <c r="D7" s="1">
        <f>2+6+4+8+6+8+16+8+245+45+2+8+100+45+27+6+12+2+6+4+2+6+4+4+4+6+6+6+4+6+4+2+2+2+470+45+8+32+100+90+34.5+2+4+2+4+4+2+2+2+45+100+100+32+135+6+27+2+2+2+2+45+100+20+4+16+45+24.5+2+2+2+45+100+20+8+45+24.5+60+2+2+2+45+100+8+10+16+45+24.5+45+2+45+100+15+16+45+2</f>
        <v>2960</v>
      </c>
    </row>
    <row r="8" spans="1:4">
      <c r="B8" s="1"/>
      <c r="D8" s="1"/>
    </row>
    <row r="9" spans="1:4">
      <c r="A9" t="s">
        <v>12</v>
      </c>
      <c r="B9" s="1">
        <f>84900+7500+3000</f>
        <v>95400</v>
      </c>
      <c r="C9" t="s">
        <v>9</v>
      </c>
      <c r="D9" s="1">
        <f>1500.6+6307-1500+18885.3+674+450+300+5000</f>
        <v>31616.9</v>
      </c>
    </row>
    <row r="10" spans="1:4">
      <c r="B10" s="1"/>
      <c r="D10" s="1"/>
    </row>
    <row r="11" spans="1:4">
      <c r="A11" t="s">
        <v>4</v>
      </c>
      <c r="B11" s="1">
        <f>45*700+2*3000+1840+1000+90*700+400+63360+500+350+390-390+10500+16*700+1500+500+780-780+2000+11200+3*700+2*700+1400+800+700</f>
        <v>211250</v>
      </c>
      <c r="C11" t="s">
        <v>5</v>
      </c>
      <c r="D11" s="1">
        <f>7000+7000+7000+7000+8000+5000+2000+8000+8000+8000</f>
        <v>67000</v>
      </c>
    </row>
    <row r="12" spans="1:4">
      <c r="A12" t="s">
        <v>6</v>
      </c>
      <c r="B12" s="1">
        <f>2547+1494+2169</f>
        <v>6210</v>
      </c>
      <c r="C12" t="s">
        <v>7</v>
      </c>
      <c r="D12" s="1">
        <f>4950+110+1003+1200+1376+2731</f>
        <v>11370</v>
      </c>
    </row>
    <row r="13" spans="1:4">
      <c r="B13" s="1"/>
      <c r="C13" t="s">
        <v>27</v>
      </c>
      <c r="D13" s="1">
        <f>619+6826</f>
        <v>7445</v>
      </c>
    </row>
    <row r="14" spans="1:4">
      <c r="B14" s="1"/>
      <c r="C14" t="s">
        <v>28</v>
      </c>
      <c r="D14" s="1">
        <v>4330</v>
      </c>
    </row>
    <row r="15" spans="1:4">
      <c r="B15" s="1"/>
      <c r="C15" t="s">
        <v>29</v>
      </c>
      <c r="D15" s="1">
        <v>7616</v>
      </c>
    </row>
    <row r="16" spans="1:4">
      <c r="B16" s="1"/>
      <c r="C16" t="s">
        <v>30</v>
      </c>
      <c r="D16" s="1">
        <f>800+180+2380+624.5+1800+143</f>
        <v>5927.5</v>
      </c>
    </row>
    <row r="17" spans="1:4">
      <c r="B17" s="1"/>
      <c r="C17" t="s">
        <v>17</v>
      </c>
      <c r="D17" s="1">
        <f>2321+1080+1000+1000+351+1932</f>
        <v>7684</v>
      </c>
    </row>
    <row r="18" spans="1:4">
      <c r="B18" s="1"/>
      <c r="C18" t="s">
        <v>31</v>
      </c>
      <c r="D18" s="1">
        <f>753.5+1317</f>
        <v>2070.5</v>
      </c>
    </row>
    <row r="19" spans="1:4">
      <c r="B19" s="1"/>
      <c r="C19" t="s">
        <v>32</v>
      </c>
      <c r="D19" s="1">
        <v>740</v>
      </c>
    </row>
    <row r="20" spans="1:4">
      <c r="B20" s="1"/>
      <c r="C20" t="s">
        <v>19</v>
      </c>
      <c r="D20" s="1">
        <f>5760+4860</f>
        <v>10620</v>
      </c>
    </row>
    <row r="21" spans="1:4">
      <c r="B21" s="1"/>
      <c r="C21" t="s">
        <v>33</v>
      </c>
      <c r="D21" s="1">
        <v>34750</v>
      </c>
    </row>
    <row r="22" spans="1:4">
      <c r="B22" s="1"/>
      <c r="C22" t="s">
        <v>34</v>
      </c>
      <c r="D22" s="1">
        <v>12028.5</v>
      </c>
    </row>
    <row r="23" spans="1:4">
      <c r="B23" s="1"/>
      <c r="C23" t="s">
        <v>35</v>
      </c>
      <c r="D23" s="1">
        <v>16301.9</v>
      </c>
    </row>
    <row r="24" spans="1:4">
      <c r="B24" s="1"/>
      <c r="C24" t="s">
        <v>36</v>
      </c>
      <c r="D24" s="1">
        <v>22738.3</v>
      </c>
    </row>
    <row r="25" spans="1:4">
      <c r="B25" s="1"/>
      <c r="D25" s="1"/>
    </row>
    <row r="26" spans="1:4" ht="13.5" thickBot="1">
      <c r="A26" s="2" t="s">
        <v>22</v>
      </c>
      <c r="B26" s="3">
        <f>SUM(B7:B24)</f>
        <v>312956.83999999997</v>
      </c>
      <c r="C26" s="3" t="s">
        <v>22</v>
      </c>
      <c r="D26" s="3">
        <f>SUM(D7:D24)</f>
        <v>245198.59999999998</v>
      </c>
    </row>
    <row r="27" spans="1:4">
      <c r="A27" s="4" t="s">
        <v>24</v>
      </c>
      <c r="B27" s="1"/>
      <c r="D27" s="7">
        <v>104594.6</v>
      </c>
    </row>
    <row r="28" spans="1:4">
      <c r="A28" s="4" t="s">
        <v>37</v>
      </c>
      <c r="D28" s="7">
        <f>D27+SUM(B7:B24)-SUM(D7:D24)</f>
        <v>172352.83999999997</v>
      </c>
    </row>
  </sheetData>
  <phoneticPr fontId="0" type="noConversion"/>
  <pageMargins left="0.78740157499999996" right="0.78740157499999996" top="0.984251969" bottom="0.984251969" header="0.4921259845" footer="0.4921259845"/>
  <pageSetup paperSize="9" orientation="landscape" horizontalDpi="200" verticalDpi="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topLeftCell="A10" workbookViewId="0">
      <selection activeCell="C14" sqref="C14"/>
    </sheetView>
  </sheetViews>
  <sheetFormatPr defaultRowHeight="12.75"/>
  <cols>
    <col min="1" max="1" width="19.5703125" customWidth="1"/>
    <col min="2" max="2" width="10.140625" bestFit="1" customWidth="1"/>
    <col min="3" max="3" width="55.140625" bestFit="1" customWidth="1"/>
    <col min="4" max="4" width="10.140625" bestFit="1" customWidth="1"/>
  </cols>
  <sheetData>
    <row r="1" spans="1:4">
      <c r="A1" t="s">
        <v>25</v>
      </c>
    </row>
    <row r="6" spans="1:4">
      <c r="A6" s="4" t="s">
        <v>1</v>
      </c>
      <c r="B6" s="5" t="s">
        <v>2</v>
      </c>
      <c r="C6" s="6" t="s">
        <v>3</v>
      </c>
      <c r="D6" s="5" t="s">
        <v>2</v>
      </c>
    </row>
    <row r="7" spans="1:4">
      <c r="A7" t="s">
        <v>14</v>
      </c>
      <c r="B7" s="1">
        <f>8.63+19.33+15.9+13.88+12.6+10.27+16.23+14.25+14.03+12.01</f>
        <v>137.13</v>
      </c>
      <c r="C7" t="s">
        <v>26</v>
      </c>
      <c r="D7" s="1">
        <f>2+6+4+8+6+8+16+8+245+45+2+8+100+45+27+6+12+2+6+4+2+6+4+4+4+6+6+6+4+6+4+2+2+2+470+45+8+32+100+90+34.5+2+4+2+4+4+2+2+2+45+100+100+32+135+6+27+2+2+2+2+45+100+20+4+16+45+24.5+2+2+2+45+100+20+8+45+24.5+60+2+2+2+45+100+8+10+16+45+24.5+45+2+45+100+15+16+45+2+15+15+45+16+100+45+2+2+2+45+100+25+16+4+15+15+45+100+5+8+45+15</f>
        <v>3640</v>
      </c>
    </row>
    <row r="8" spans="1:4">
      <c r="B8" s="1"/>
      <c r="D8" s="1"/>
    </row>
    <row r="9" spans="1:4">
      <c r="A9" t="s">
        <v>12</v>
      </c>
      <c r="B9" s="1">
        <f>84900+7500+3000</f>
        <v>95400</v>
      </c>
      <c r="C9" t="s">
        <v>9</v>
      </c>
      <c r="D9" s="1">
        <f>1500.6+6307-1500+18885.3+674+450+300+5000-1700</f>
        <v>29916.9</v>
      </c>
    </row>
    <row r="10" spans="1:4">
      <c r="B10" s="1"/>
      <c r="D10" s="1"/>
    </row>
    <row r="11" spans="1:4">
      <c r="A11" t="s">
        <v>4</v>
      </c>
      <c r="B11" s="1">
        <f>45*700+2*3000+1840+1000+90*700+400+63360+500+350+390-390+10500+16*700+1500+500+780-780+2000+11200+3*700+2*700+1400+800+700+700+2160+1400+5700-2160+780-780</f>
        <v>219050</v>
      </c>
      <c r="C11" t="s">
        <v>5</v>
      </c>
      <c r="D11" s="1">
        <f>7000+7000+7000+7000+8000+5000+2000+8000+8000+8000+8000+8000</f>
        <v>83000</v>
      </c>
    </row>
    <row r="12" spans="1:4">
      <c r="A12" t="s">
        <v>6</v>
      </c>
      <c r="B12" s="1">
        <f>2547+1494+2169+1337</f>
        <v>7547</v>
      </c>
      <c r="C12" t="s">
        <v>7</v>
      </c>
      <c r="D12" s="1">
        <f>4950+110+1003+1200+1376+2731</f>
        <v>11370</v>
      </c>
    </row>
    <row r="13" spans="1:4">
      <c r="B13" s="1"/>
      <c r="C13" t="s">
        <v>27</v>
      </c>
      <c r="D13" s="1">
        <f>619+6826</f>
        <v>7445</v>
      </c>
    </row>
    <row r="14" spans="1:4">
      <c r="B14" s="1"/>
      <c r="C14" t="s">
        <v>28</v>
      </c>
      <c r="D14" s="1">
        <v>4330</v>
      </c>
    </row>
    <row r="15" spans="1:4">
      <c r="B15" s="1"/>
      <c r="C15" t="s">
        <v>29</v>
      </c>
      <c r="D15" s="1">
        <v>7616</v>
      </c>
    </row>
    <row r="16" spans="1:4">
      <c r="B16" s="1"/>
      <c r="C16" t="s">
        <v>30</v>
      </c>
      <c r="D16" s="1">
        <f>800+180+2380+624.5+1800+143+300</f>
        <v>6227.5</v>
      </c>
    </row>
    <row r="17" spans="1:5">
      <c r="B17" s="1"/>
      <c r="C17" t="s">
        <v>38</v>
      </c>
      <c r="D17" s="1">
        <f>2321+1080+1000+1000+351+1932+1127+500+224</f>
        <v>9535</v>
      </c>
    </row>
    <row r="18" spans="1:5">
      <c r="B18" s="1"/>
      <c r="C18" t="s">
        <v>31</v>
      </c>
      <c r="D18" s="1">
        <f>753.5+1317</f>
        <v>2070.5</v>
      </c>
    </row>
    <row r="19" spans="1:5">
      <c r="B19" s="1"/>
      <c r="C19" t="s">
        <v>39</v>
      </c>
      <c r="D19" s="1">
        <f>1166+12509+1500+210+120+2600+972+900+1000+1195.5</f>
        <v>22172.5</v>
      </c>
      <c r="E19" s="1"/>
    </row>
    <row r="20" spans="1:5">
      <c r="B20" s="1"/>
      <c r="C20" t="s">
        <v>40</v>
      </c>
      <c r="D20" s="1">
        <f>-200+216</f>
        <v>16</v>
      </c>
      <c r="E20" s="1"/>
    </row>
    <row r="21" spans="1:5">
      <c r="B21" s="1"/>
      <c r="C21" t="s">
        <v>41</v>
      </c>
      <c r="D21" s="1">
        <v>250</v>
      </c>
    </row>
    <row r="22" spans="1:5">
      <c r="B22" s="1"/>
      <c r="C22" t="s">
        <v>32</v>
      </c>
      <c r="D22" s="1">
        <v>740</v>
      </c>
    </row>
    <row r="23" spans="1:5">
      <c r="B23" s="1"/>
      <c r="C23" t="s">
        <v>19</v>
      </c>
      <c r="D23" s="1">
        <f>5760+4860</f>
        <v>10620</v>
      </c>
    </row>
    <row r="24" spans="1:5">
      <c r="B24" s="1"/>
      <c r="C24" t="s">
        <v>33</v>
      </c>
      <c r="D24" s="1">
        <v>34750</v>
      </c>
    </row>
    <row r="25" spans="1:5">
      <c r="B25" s="1"/>
      <c r="C25" t="s">
        <v>34</v>
      </c>
      <c r="D25" s="1">
        <v>12028.5</v>
      </c>
    </row>
    <row r="26" spans="1:5">
      <c r="B26" s="1"/>
      <c r="C26" t="s">
        <v>35</v>
      </c>
      <c r="D26" s="1">
        <v>16301.9</v>
      </c>
    </row>
    <row r="27" spans="1:5">
      <c r="B27" s="1"/>
      <c r="C27" t="s">
        <v>36</v>
      </c>
      <c r="D27" s="1">
        <v>22738.3</v>
      </c>
    </row>
    <row r="28" spans="1:5">
      <c r="B28" s="1"/>
      <c r="D28" s="1"/>
    </row>
    <row r="29" spans="1:5" ht="13.5" thickBot="1">
      <c r="A29" s="2" t="s">
        <v>22</v>
      </c>
      <c r="B29" s="3">
        <f>SUM(B7:B27)</f>
        <v>322134.13</v>
      </c>
      <c r="C29" s="3" t="s">
        <v>22</v>
      </c>
      <c r="D29" s="3">
        <f>SUM(D7:D27)</f>
        <v>284768.09999999998</v>
      </c>
    </row>
    <row r="30" spans="1:5">
      <c r="A30" s="4" t="s">
        <v>24</v>
      </c>
      <c r="B30" s="1"/>
      <c r="D30" s="7">
        <v>104594.6</v>
      </c>
    </row>
    <row r="31" spans="1:5">
      <c r="A31" s="4" t="s">
        <v>42</v>
      </c>
      <c r="D31" s="7">
        <f>D30+SUM(B7:B27)-SUM(D7:D27)</f>
        <v>141960.63</v>
      </c>
    </row>
  </sheetData>
  <phoneticPr fontId="0" type="noConversion"/>
  <pageMargins left="0.78740157499999996" right="0.78740157499999996" top="0.984251969" bottom="0.984251969" header="0.4921259845" footer="0.4921259845"/>
  <pageSetup paperSize="9" orientation="landscape" horizontalDpi="200" verticalDpi="2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topLeftCell="A4" workbookViewId="0">
      <selection activeCell="C11" sqref="C11"/>
    </sheetView>
  </sheetViews>
  <sheetFormatPr defaultRowHeight="12.75"/>
  <cols>
    <col min="1" max="1" width="19.5703125" customWidth="1"/>
    <col min="2" max="2" width="10.140625" bestFit="1" customWidth="1"/>
    <col min="3" max="3" width="55.140625" bestFit="1" customWidth="1"/>
    <col min="4" max="4" width="10.140625" bestFit="1" customWidth="1"/>
  </cols>
  <sheetData>
    <row r="1" spans="1:5">
      <c r="A1" t="s">
        <v>25</v>
      </c>
    </row>
    <row r="6" spans="1:5">
      <c r="A6" s="4" t="s">
        <v>1</v>
      </c>
      <c r="B6" s="5" t="s">
        <v>2</v>
      </c>
      <c r="C6" s="6" t="s">
        <v>3</v>
      </c>
      <c r="D6" s="5" t="s">
        <v>2</v>
      </c>
    </row>
    <row r="7" spans="1:5">
      <c r="A7" t="s">
        <v>14</v>
      </c>
      <c r="B7" s="1">
        <f>8.63+19.33+15.9+13.88+12.6+10.27+16.23+14.25+14.03+12.01+12.25+12.21</f>
        <v>161.59</v>
      </c>
      <c r="C7" t="s">
        <v>26</v>
      </c>
      <c r="D7" s="1">
        <f>2+6+4+8+6+8+16+8+245+45+2+8+100+45+27+6+12+2+6+4+2+6+4+4+4+6+6+6+4+6+4+2+2+2+470+45+8+32+100+90+34.5+2+4+2+4+4+2+2+2+45+100+100+32+135+6+27+2+2+2+2+45+100+20+4+16+45+24.5+2+2+2+45+100+20+8+45+24.5+60+2+2+2+45+100+8+10+16+45+24.5+45+2+45+100+15+16+45+2+15+15+45+16+100+45+2+2+2+45+100+25+16+4+15+15+45+100+5+8+45+15+5+15+45+100+2+15+45+8+100+45</f>
        <v>4020</v>
      </c>
    </row>
    <row r="8" spans="1:5">
      <c r="B8" s="1"/>
      <c r="D8" s="1"/>
    </row>
    <row r="9" spans="1:5">
      <c r="A9" t="s">
        <v>12</v>
      </c>
      <c r="B9" s="1">
        <f>84900+7500+3000</f>
        <v>95400</v>
      </c>
      <c r="C9" t="s">
        <v>9</v>
      </c>
      <c r="D9" s="1">
        <f>1500.6+6307-1500+18885.3+674+450+300+5000-1700</f>
        <v>29916.9</v>
      </c>
      <c r="E9" s="1"/>
    </row>
    <row r="10" spans="1:5">
      <c r="B10" s="1"/>
      <c r="D10" s="1"/>
    </row>
    <row r="11" spans="1:5">
      <c r="A11" t="s">
        <v>4</v>
      </c>
      <c r="B11" s="1">
        <f>45*700+2*3000+1840+1000+90*700+400+63360+500+350+390-390+10500+16*700+1500+500+780-780+2000+11200+3*700+2*700+1400+800+700+700+2160+1400+5700-2160+780-780</f>
        <v>219050</v>
      </c>
      <c r="C11" t="s">
        <v>5</v>
      </c>
      <c r="D11" s="1">
        <f>7000+7000+7000+7000+8000+5000+2000+8000+8000+8000+8000+8000</f>
        <v>83000</v>
      </c>
    </row>
    <row r="12" spans="1:5">
      <c r="A12" t="s">
        <v>6</v>
      </c>
      <c r="B12" s="1">
        <f>2547+1494+2169+1337+1238</f>
        <v>8785</v>
      </c>
      <c r="C12" t="s">
        <v>7</v>
      </c>
      <c r="D12" s="1">
        <f>4950+110+1003+1200+1376+2731+265+204.5</f>
        <v>11839.5</v>
      </c>
    </row>
    <row r="13" spans="1:5">
      <c r="B13" s="1"/>
      <c r="C13" t="s">
        <v>27</v>
      </c>
      <c r="D13" s="1">
        <f>619+6826</f>
        <v>7445</v>
      </c>
    </row>
    <row r="14" spans="1:5">
      <c r="B14" s="1"/>
      <c r="C14" t="s">
        <v>28</v>
      </c>
      <c r="D14" s="1">
        <v>4330</v>
      </c>
    </row>
    <row r="15" spans="1:5">
      <c r="B15" s="1"/>
      <c r="C15" t="s">
        <v>29</v>
      </c>
      <c r="D15" s="1">
        <v>7616</v>
      </c>
    </row>
    <row r="16" spans="1:5">
      <c r="B16" s="1"/>
      <c r="C16" t="s">
        <v>30</v>
      </c>
      <c r="D16" s="1">
        <f>800+180+2380+624.5+1800+143+300+1024</f>
        <v>7251.5</v>
      </c>
    </row>
    <row r="17" spans="1:5">
      <c r="B17" s="1"/>
      <c r="C17" t="s">
        <v>38</v>
      </c>
      <c r="D17" s="1">
        <f>2321+1080+1000+1000+351+1932+1127+500+224</f>
        <v>9535</v>
      </c>
    </row>
    <row r="18" spans="1:5">
      <c r="B18" s="1"/>
      <c r="C18" t="s">
        <v>31</v>
      </c>
      <c r="D18" s="1">
        <f>753.5+1317</f>
        <v>2070.5</v>
      </c>
    </row>
    <row r="19" spans="1:5">
      <c r="B19" s="1"/>
      <c r="C19" t="s">
        <v>39</v>
      </c>
      <c r="D19" s="1">
        <f>1166+12509+1500+210+120+2600+972+900+1000+1195.5</f>
        <v>22172.5</v>
      </c>
      <c r="E19" s="1"/>
    </row>
    <row r="20" spans="1:5">
      <c r="B20" s="1"/>
      <c r="C20" t="s">
        <v>40</v>
      </c>
      <c r="D20" s="1">
        <f>-200+216</f>
        <v>16</v>
      </c>
      <c r="E20" s="1"/>
    </row>
    <row r="21" spans="1:5">
      <c r="B21" s="1"/>
      <c r="C21" t="s">
        <v>41</v>
      </c>
      <c r="D21" s="1">
        <v>250</v>
      </c>
    </row>
    <row r="22" spans="1:5">
      <c r="B22" s="1"/>
      <c r="C22" t="s">
        <v>32</v>
      </c>
      <c r="D22" s="1">
        <v>740</v>
      </c>
    </row>
    <row r="23" spans="1:5">
      <c r="B23" s="1"/>
      <c r="C23" t="s">
        <v>19</v>
      </c>
      <c r="D23" s="1">
        <f>5760+4860</f>
        <v>10620</v>
      </c>
    </row>
    <row r="24" spans="1:5">
      <c r="B24" s="1"/>
      <c r="C24" t="s">
        <v>33</v>
      </c>
      <c r="D24" s="1">
        <v>34750</v>
      </c>
    </row>
    <row r="25" spans="1:5">
      <c r="B25" s="1"/>
      <c r="C25" t="s">
        <v>34</v>
      </c>
      <c r="D25" s="1">
        <v>12028.5</v>
      </c>
    </row>
    <row r="26" spans="1:5">
      <c r="B26" s="1"/>
      <c r="C26" t="s">
        <v>35</v>
      </c>
      <c r="D26" s="1">
        <v>16301.9</v>
      </c>
    </row>
    <row r="27" spans="1:5">
      <c r="B27" s="1"/>
      <c r="C27" t="s">
        <v>36</v>
      </c>
      <c r="D27" s="1">
        <v>22738.3</v>
      </c>
    </row>
    <row r="28" spans="1:5">
      <c r="B28" s="1"/>
      <c r="D28" s="1"/>
    </row>
    <row r="29" spans="1:5" ht="13.5" thickBot="1">
      <c r="A29" s="2" t="s">
        <v>22</v>
      </c>
      <c r="B29" s="3">
        <f>SUM(B7:B27)</f>
        <v>323396.58999999997</v>
      </c>
      <c r="C29" s="3" t="s">
        <v>22</v>
      </c>
      <c r="D29" s="3">
        <f>SUM(D7:D27)</f>
        <v>286641.59999999998</v>
      </c>
    </row>
    <row r="30" spans="1:5">
      <c r="A30" s="4" t="s">
        <v>24</v>
      </c>
      <c r="B30" s="1"/>
      <c r="D30" s="7">
        <v>104594.6</v>
      </c>
    </row>
    <row r="31" spans="1:5">
      <c r="A31" s="4" t="s">
        <v>43</v>
      </c>
      <c r="D31" s="7">
        <f>D30+SUM(B7:B27)-SUM(D7:D27)</f>
        <v>141349.58999999997</v>
      </c>
    </row>
  </sheetData>
  <phoneticPr fontId="0" type="noConversion"/>
  <pageMargins left="0.78740157499999996" right="0.78740157499999996" top="0.984251969" bottom="0.984251969" header="0.4921259845" footer="0.4921259845"/>
  <pageSetup paperSize="9" orientation="landscape" horizontalDpi="200" verticalDpi="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7"/>
  <sheetViews>
    <sheetView workbookViewId="0"/>
  </sheetViews>
  <sheetFormatPr defaultRowHeight="12.75"/>
  <cols>
    <col min="1" max="1" width="3.140625" customWidth="1"/>
    <col min="2" max="2" width="41.42578125" customWidth="1"/>
    <col min="3" max="3" width="12.85546875" style="1" customWidth="1"/>
    <col min="4" max="4" width="5.42578125" customWidth="1"/>
    <col min="5" max="5" width="41.42578125" customWidth="1"/>
    <col min="6" max="6" width="12.85546875" style="1" customWidth="1"/>
    <col min="9" max="9" width="16" bestFit="1" customWidth="1"/>
    <col min="11" max="11" width="28.140625" bestFit="1" customWidth="1"/>
    <col min="12" max="12" width="10.140625" bestFit="1" customWidth="1"/>
    <col min="14" max="14" width="39.85546875" bestFit="1" customWidth="1"/>
    <col min="15" max="15" width="10.140625" bestFit="1" customWidth="1"/>
  </cols>
  <sheetData>
    <row r="1" spans="1:15" ht="12" customHeight="1">
      <c r="L1" s="1"/>
      <c r="O1" s="1"/>
    </row>
    <row r="2" spans="1:15" ht="12" customHeight="1">
      <c r="L2" s="1"/>
      <c r="O2" s="1"/>
    </row>
    <row r="3" spans="1:15" ht="12" customHeight="1">
      <c r="L3" s="1"/>
      <c r="O3" s="1"/>
    </row>
    <row r="4" spans="1:15" ht="12" customHeight="1">
      <c r="L4" s="1"/>
      <c r="O4" s="1"/>
    </row>
    <row r="5" spans="1:15" ht="12" customHeight="1">
      <c r="L5" s="1"/>
      <c r="O5" s="1"/>
    </row>
    <row r="6" spans="1:15" ht="12" customHeight="1">
      <c r="L6" s="1"/>
      <c r="O6" s="1"/>
    </row>
    <row r="7" spans="1:15" ht="12" customHeight="1">
      <c r="L7" s="1"/>
      <c r="O7" s="1"/>
    </row>
    <row r="8" spans="1:15" ht="15.75">
      <c r="A8" s="17" t="s">
        <v>44</v>
      </c>
      <c r="J8" s="17" t="s">
        <v>45</v>
      </c>
      <c r="L8" s="1"/>
      <c r="O8" s="1"/>
    </row>
    <row r="9" spans="1:15">
      <c r="L9" s="1"/>
      <c r="O9" s="1"/>
    </row>
    <row r="10" spans="1:15">
      <c r="L10" s="1"/>
      <c r="O10" s="1"/>
    </row>
    <row r="11" spans="1:15">
      <c r="B11" t="s">
        <v>46</v>
      </c>
      <c r="E11" t="s">
        <v>47</v>
      </c>
      <c r="K11" t="s">
        <v>46</v>
      </c>
      <c r="L11" s="1"/>
      <c r="N11" t="s">
        <v>47</v>
      </c>
      <c r="O11" s="1"/>
    </row>
    <row r="12" spans="1:15">
      <c r="L12" s="1"/>
      <c r="O12" s="1"/>
    </row>
    <row r="13" spans="1:15">
      <c r="B13" s="8" t="s">
        <v>14</v>
      </c>
      <c r="C13" s="1">
        <f>1.69+2.34+2.42+2.6+2.57+2.6+3.21+3.32+3.26+3.1+2.78+2.66</f>
        <v>32.549999999999997</v>
      </c>
      <c r="E13" s="8" t="s">
        <v>26</v>
      </c>
      <c r="F13" s="1">
        <f>948+749+580+302+261+206+272+203+258+100+168+297+160</f>
        <v>4504</v>
      </c>
      <c r="K13" s="8" t="s">
        <v>14</v>
      </c>
      <c r="L13" s="1">
        <f>1.69+2.34+2.42+2.6</f>
        <v>9.0499999999999989</v>
      </c>
      <c r="N13" s="8" t="s">
        <v>26</v>
      </c>
      <c r="O13" s="1">
        <f>948+749+580+302</f>
        <v>2579</v>
      </c>
    </row>
    <row r="14" spans="1:15">
      <c r="L14" s="1"/>
      <c r="O14" s="1"/>
    </row>
    <row r="15" spans="1:15">
      <c r="L15" s="1"/>
      <c r="O15" s="1"/>
    </row>
    <row r="16" spans="1:15">
      <c r="B16" s="8" t="s">
        <v>4</v>
      </c>
      <c r="C16" s="1">
        <f>315410+70+700+700-200+200+700</f>
        <v>317580</v>
      </c>
      <c r="E16" s="8" t="s">
        <v>48</v>
      </c>
      <c r="F16" s="1">
        <f>70000+42000</f>
        <v>112000</v>
      </c>
      <c r="G16" t="s">
        <v>49</v>
      </c>
      <c r="H16" t="s">
        <v>50</v>
      </c>
      <c r="I16" t="s">
        <v>51</v>
      </c>
      <c r="K16" s="8" t="s">
        <v>4</v>
      </c>
      <c r="L16" s="1">
        <f>237950+700+1400+350+1000+1000+2100+700+2200+1700</f>
        <v>249100</v>
      </c>
      <c r="N16" s="8" t="s">
        <v>48</v>
      </c>
      <c r="O16" s="1">
        <v>70000</v>
      </c>
    </row>
    <row r="17" spans="2:15">
      <c r="B17" s="8" t="s">
        <v>6</v>
      </c>
      <c r="C17" s="1">
        <f>3460+1584+3045+2160</f>
        <v>10249</v>
      </c>
      <c r="K17" s="8" t="s">
        <v>6</v>
      </c>
      <c r="L17" s="1">
        <f>3460</f>
        <v>3460</v>
      </c>
      <c r="O17" s="1"/>
    </row>
    <row r="18" spans="2:15">
      <c r="B18" s="8" t="s">
        <v>52</v>
      </c>
      <c r="C18" s="1">
        <f>50000</f>
        <v>50000</v>
      </c>
      <c r="E18" s="8" t="s">
        <v>53</v>
      </c>
      <c r="F18" s="1">
        <f>111+1200+3194+500+500+191</f>
        <v>5696</v>
      </c>
      <c r="L18" s="1"/>
      <c r="N18" s="8" t="s">
        <v>54</v>
      </c>
      <c r="O18" s="1">
        <f>111+1200</f>
        <v>1311</v>
      </c>
    </row>
    <row r="19" spans="2:15">
      <c r="E19" s="8" t="s">
        <v>55</v>
      </c>
      <c r="F19" s="1">
        <f>1081+299+400+1500+998</f>
        <v>4278</v>
      </c>
      <c r="L19" s="1"/>
      <c r="N19" s="8" t="s">
        <v>55</v>
      </c>
      <c r="O19" s="1">
        <f>1081+299+400</f>
        <v>1780</v>
      </c>
    </row>
    <row r="20" spans="2:15">
      <c r="B20" t="s">
        <v>56</v>
      </c>
      <c r="C20" s="1">
        <v>726</v>
      </c>
      <c r="E20" s="8" t="s">
        <v>57</v>
      </c>
      <c r="F20" s="1">
        <f>300+110+2500+650+390+345+940+1800+2290+160</f>
        <v>9485</v>
      </c>
      <c r="K20" t="s">
        <v>58</v>
      </c>
      <c r="L20" s="1">
        <f>700-700+1400-1400</f>
        <v>0</v>
      </c>
      <c r="N20" s="8" t="s">
        <v>32</v>
      </c>
      <c r="O20" s="1">
        <f>300+110</f>
        <v>410</v>
      </c>
    </row>
    <row r="21" spans="2:15">
      <c r="B21" t="s">
        <v>59</v>
      </c>
      <c r="E21" s="8" t="s">
        <v>60</v>
      </c>
      <c r="F21" s="1">
        <f>2700+280+2511</f>
        <v>5491</v>
      </c>
      <c r="K21" t="s">
        <v>59</v>
      </c>
      <c r="L21" s="1"/>
      <c r="N21" s="8" t="s">
        <v>60</v>
      </c>
      <c r="O21" s="1">
        <f>2700</f>
        <v>2700</v>
      </c>
    </row>
    <row r="22" spans="2:15">
      <c r="B22" t="s">
        <v>61</v>
      </c>
      <c r="C22" s="1">
        <v>14610</v>
      </c>
      <c r="E22" s="8" t="s">
        <v>62</v>
      </c>
      <c r="F22" s="1">
        <f>5490-5490+5490</f>
        <v>5490</v>
      </c>
      <c r="K22" t="s">
        <v>61</v>
      </c>
      <c r="L22" s="1">
        <v>14610</v>
      </c>
      <c r="N22" s="8" t="s">
        <v>63</v>
      </c>
      <c r="O22" s="1">
        <f>3000</f>
        <v>3000</v>
      </c>
    </row>
    <row r="23" spans="2:15">
      <c r="B23" t="s">
        <v>64</v>
      </c>
      <c r="C23" s="1">
        <f>4670+7700</f>
        <v>12370</v>
      </c>
      <c r="E23" s="8" t="s">
        <v>63</v>
      </c>
      <c r="F23" s="1">
        <f>3000</f>
        <v>3000</v>
      </c>
      <c r="L23" s="1"/>
      <c r="N23" s="8" t="s">
        <v>65</v>
      </c>
      <c r="O23" s="1">
        <f>8000+2060+18750+14464</f>
        <v>43274</v>
      </c>
    </row>
    <row r="24" spans="2:15">
      <c r="B24" s="8" t="s">
        <v>66</v>
      </c>
      <c r="C24" s="1">
        <v>2220</v>
      </c>
      <c r="E24" s="8" t="s">
        <v>65</v>
      </c>
      <c r="F24" s="1">
        <f>8000+2060+18750+14464+1458+221+1679</f>
        <v>46632</v>
      </c>
      <c r="L24" s="1"/>
      <c r="N24" s="8" t="s">
        <v>67</v>
      </c>
      <c r="O24" s="1">
        <f>6161</f>
        <v>6161</v>
      </c>
    </row>
    <row r="25" spans="2:15">
      <c r="B25" t="s">
        <v>68</v>
      </c>
      <c r="C25" s="1">
        <f>47720+4050</f>
        <v>51770</v>
      </c>
      <c r="E25" s="8" t="s">
        <v>67</v>
      </c>
      <c r="F25" s="1">
        <f>6161+7050.7+2235.2+8080</f>
        <v>23526.9</v>
      </c>
      <c r="L25" s="1"/>
      <c r="N25" s="8" t="s">
        <v>69</v>
      </c>
      <c r="O25" s="1">
        <v>7212</v>
      </c>
    </row>
    <row r="26" spans="2:15">
      <c r="E26" s="8" t="s">
        <v>69</v>
      </c>
      <c r="F26" s="1">
        <v>7212</v>
      </c>
      <c r="L26" s="1"/>
      <c r="O26" s="1"/>
    </row>
    <row r="27" spans="2:15">
      <c r="E27" s="8" t="s">
        <v>68</v>
      </c>
      <c r="F27" s="1">
        <f>22230+726+3000+2250</f>
        <v>28206</v>
      </c>
      <c r="L27" s="1"/>
      <c r="O27" s="1"/>
    </row>
    <row r="28" spans="2:15">
      <c r="E28" s="8" t="s">
        <v>39</v>
      </c>
      <c r="F28" s="1">
        <f>3900+1200+1717+35+3000+5080+11225+2900+4040+654+1159</f>
        <v>34910</v>
      </c>
      <c r="L28" s="1"/>
      <c r="O28" s="1"/>
    </row>
    <row r="29" spans="2:15">
      <c r="E29" s="8" t="s">
        <v>70</v>
      </c>
      <c r="F29" s="1">
        <f>1500+1500+1500+1500+1500+1500</f>
        <v>9000</v>
      </c>
      <c r="L29" s="1"/>
      <c r="O29" s="1"/>
    </row>
    <row r="30" spans="2:15">
      <c r="E30" s="8" t="s">
        <v>71</v>
      </c>
      <c r="F30" s="1">
        <f>513+833+599</f>
        <v>1945</v>
      </c>
      <c r="L30" s="1"/>
      <c r="O30" s="1"/>
    </row>
    <row r="31" spans="2:15">
      <c r="E31" s="8" t="s">
        <v>72</v>
      </c>
      <c r="F31" s="1">
        <f>16808</f>
        <v>16808</v>
      </c>
      <c r="L31" s="1"/>
      <c r="O31" s="1"/>
    </row>
    <row r="32" spans="2:15" ht="13.5" thickBot="1">
      <c r="B32" s="22"/>
      <c r="C32" s="23"/>
      <c r="D32" s="22"/>
      <c r="E32" s="22" t="s">
        <v>73</v>
      </c>
      <c r="F32" s="23">
        <v>1775</v>
      </c>
      <c r="K32" s="22"/>
      <c r="L32" s="23"/>
      <c r="M32" s="22"/>
      <c r="N32" s="22"/>
      <c r="O32" s="23"/>
    </row>
    <row r="33" spans="2:15" ht="13.5" thickBot="1">
      <c r="B33" s="24" t="s">
        <v>22</v>
      </c>
      <c r="C33" s="25">
        <f>SUM(C13:C32)</f>
        <v>459557.55</v>
      </c>
      <c r="D33" s="24"/>
      <c r="E33" s="24" t="s">
        <v>22</v>
      </c>
      <c r="F33" s="25">
        <f>SUM(F13:F32)</f>
        <v>319958.90000000002</v>
      </c>
      <c r="K33" s="24" t="s">
        <v>22</v>
      </c>
      <c r="L33" s="25">
        <f>SUM(L13:L32)</f>
        <v>267179.05</v>
      </c>
      <c r="M33" s="24"/>
      <c r="N33" s="24" t="s">
        <v>22</v>
      </c>
      <c r="O33" s="25">
        <f>SUM(O13:O32)</f>
        <v>138427</v>
      </c>
    </row>
    <row r="34" spans="2:15">
      <c r="L34" s="1"/>
      <c r="O34" s="1"/>
    </row>
    <row r="35" spans="2:15">
      <c r="L35" s="1"/>
      <c r="O35" s="1"/>
    </row>
    <row r="36" spans="2:15">
      <c r="B36" s="9" t="s">
        <v>74</v>
      </c>
      <c r="C36" s="1">
        <v>169782.64</v>
      </c>
      <c r="K36" s="9" t="s">
        <v>74</v>
      </c>
      <c r="L36" s="1">
        <v>169782.64</v>
      </c>
      <c r="O36" s="1"/>
    </row>
    <row r="37" spans="2:15">
      <c r="B37" s="9" t="s">
        <v>75</v>
      </c>
      <c r="C37" s="1">
        <f>C36+SUM(C13:C32)-SUM(F13:F32)</f>
        <v>309381.28999999992</v>
      </c>
      <c r="K37" s="9" t="s">
        <v>76</v>
      </c>
      <c r="L37" s="1">
        <f>L36+SUM(L13:L32)-SUM(O13:O32)</f>
        <v>298534.69</v>
      </c>
      <c r="O37" s="1"/>
    </row>
  </sheetData>
  <pageMargins left="1.6141732283464567" right="0.23622047244094491" top="0.74803149606299213" bottom="0.74803149606299213" header="0.31496062992125984" footer="0.31496062992125984"/>
  <pageSetup paperSize="9" orientation="landscape" copies="2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H40"/>
  <sheetViews>
    <sheetView workbookViewId="0"/>
  </sheetViews>
  <sheetFormatPr defaultRowHeight="12.75"/>
  <cols>
    <col min="1" max="1" width="5.42578125" style="8" customWidth="1"/>
    <col min="2" max="2" width="41.42578125" style="8" customWidth="1"/>
    <col min="3" max="3" width="12.85546875" style="8" customWidth="1"/>
    <col min="4" max="4" width="5.140625" style="8" customWidth="1"/>
    <col min="5" max="5" width="41.42578125" style="8" customWidth="1"/>
    <col min="6" max="6" width="12.85546875" style="8" customWidth="1"/>
    <col min="7" max="7" width="9.140625" style="8"/>
    <col min="8" max="8" width="20.5703125" style="8" bestFit="1" customWidth="1"/>
    <col min="9" max="16384" width="9.140625" style="8"/>
  </cols>
  <sheetData>
    <row r="8" spans="2:8" ht="15.75">
      <c r="B8" s="17" t="s">
        <v>77</v>
      </c>
    </row>
    <row r="11" spans="2:8">
      <c r="B11" s="9" t="s">
        <v>1</v>
      </c>
      <c r="C11" s="10" t="s">
        <v>2</v>
      </c>
      <c r="D11" s="10"/>
      <c r="E11" s="11" t="s">
        <v>3</v>
      </c>
      <c r="F11" s="10" t="s">
        <v>2</v>
      </c>
    </row>
    <row r="12" spans="2:8">
      <c r="B12" s="9"/>
      <c r="C12" s="10"/>
      <c r="D12" s="10"/>
      <c r="E12" s="11"/>
      <c r="F12" s="10"/>
    </row>
    <row r="13" spans="2:8">
      <c r="B13" s="9"/>
      <c r="C13" s="10"/>
      <c r="D13" s="10"/>
      <c r="E13" s="11"/>
      <c r="F13" s="10"/>
    </row>
    <row r="14" spans="2:8">
      <c r="B14" s="8" t="s">
        <v>14</v>
      </c>
      <c r="C14" s="21">
        <f>0.71+1.34+1.66+1.93+1.8+2.05+2.63+2.77+2.42+2.27+2.31+2.07</f>
        <v>23.959999999999994</v>
      </c>
      <c r="D14" s="12"/>
      <c r="E14" s="8" t="s">
        <v>26</v>
      </c>
      <c r="F14" s="21">
        <f>636+490+558+452+273+219+207+272-100+272+172+232+167</f>
        <v>3850</v>
      </c>
    </row>
    <row r="15" spans="2:8">
      <c r="B15" s="8" t="s">
        <v>68</v>
      </c>
      <c r="C15" s="12">
        <f>41846+8175</f>
        <v>50021</v>
      </c>
      <c r="D15" s="12"/>
      <c r="F15" s="21"/>
    </row>
    <row r="16" spans="2:8">
      <c r="C16" s="12"/>
      <c r="D16" s="12"/>
      <c r="E16" s="8" t="s">
        <v>9</v>
      </c>
      <c r="F16" s="12">
        <f>1974</f>
        <v>1974</v>
      </c>
      <c r="G16" s="12"/>
      <c r="H16" s="13"/>
    </row>
    <row r="17" spans="2:7">
      <c r="C17" s="12"/>
      <c r="D17" s="12"/>
      <c r="E17" s="8" t="s">
        <v>78</v>
      </c>
      <c r="F17" s="12">
        <v>23550</v>
      </c>
    </row>
    <row r="18" spans="2:7">
      <c r="B18" s="8" t="s">
        <v>4</v>
      </c>
      <c r="C18" s="21">
        <f>61600+43095+55940+31130+29750+62710+11500+8420+1400+700+100+800+700+500-700+600+700+1400+600</f>
        <v>310945</v>
      </c>
      <c r="D18" s="12"/>
      <c r="E18" s="8" t="s">
        <v>5</v>
      </c>
      <c r="F18" s="12">
        <f>2224</f>
        <v>2224</v>
      </c>
    </row>
    <row r="19" spans="2:7">
      <c r="B19" s="8" t="s">
        <v>6</v>
      </c>
      <c r="C19" s="12">
        <f>1935+3015+2520+5200+1980</f>
        <v>14650</v>
      </c>
      <c r="D19" s="12"/>
      <c r="E19" s="8" t="s">
        <v>31</v>
      </c>
      <c r="F19" s="12">
        <v>1287</v>
      </c>
    </row>
    <row r="20" spans="2:7">
      <c r="B20" s="8" t="s">
        <v>79</v>
      </c>
      <c r="C20" s="12">
        <f>5390+100+100</f>
        <v>5590</v>
      </c>
      <c r="D20" s="12"/>
      <c r="E20" s="8" t="s">
        <v>54</v>
      </c>
      <c r="F20" s="12">
        <f>1000+2806+1000</f>
        <v>4806</v>
      </c>
    </row>
    <row r="21" spans="2:7">
      <c r="B21" s="8" t="s">
        <v>65</v>
      </c>
      <c r="C21" s="12">
        <v>40070</v>
      </c>
      <c r="D21" s="12"/>
      <c r="E21" s="8" t="s">
        <v>55</v>
      </c>
      <c r="F21" s="12">
        <f>600+400+2645+1544+340+786+368</f>
        <v>6683</v>
      </c>
    </row>
    <row r="22" spans="2:7">
      <c r="C22" s="12"/>
      <c r="D22" s="12"/>
      <c r="E22" s="8" t="s">
        <v>32</v>
      </c>
      <c r="F22" s="12">
        <f>2990+850+2350</f>
        <v>6190</v>
      </c>
    </row>
    <row r="23" spans="2:7">
      <c r="C23" s="12"/>
      <c r="D23" s="12"/>
      <c r="E23" s="8" t="s">
        <v>80</v>
      </c>
      <c r="F23" s="12">
        <f>5180.02+800+2700+200+85+2065</f>
        <v>11030.02</v>
      </c>
    </row>
    <row r="24" spans="2:7">
      <c r="C24" s="12"/>
      <c r="D24" s="12"/>
      <c r="E24" s="8" t="s">
        <v>81</v>
      </c>
      <c r="F24" s="12">
        <f>1752</f>
        <v>1752</v>
      </c>
    </row>
    <row r="25" spans="2:7">
      <c r="C25" s="12"/>
      <c r="D25" s="12"/>
      <c r="E25" s="8" t="s">
        <v>82</v>
      </c>
      <c r="F25" s="12">
        <f>1320+660+8420</f>
        <v>10400</v>
      </c>
    </row>
    <row r="26" spans="2:7">
      <c r="B26" s="8" t="s">
        <v>83</v>
      </c>
      <c r="C26" s="12">
        <f>3000-3000</f>
        <v>0</v>
      </c>
      <c r="D26" s="12"/>
      <c r="E26" s="8" t="s">
        <v>84</v>
      </c>
      <c r="F26" s="12">
        <f>5610+7497+7852+3926+2548</f>
        <v>27433</v>
      </c>
      <c r="G26" s="12"/>
    </row>
    <row r="27" spans="2:7">
      <c r="C27" s="12"/>
      <c r="D27" s="12"/>
      <c r="E27" s="8" t="s">
        <v>85</v>
      </c>
      <c r="F27" s="12">
        <v>2545</v>
      </c>
      <c r="G27" s="12"/>
    </row>
    <row r="28" spans="2:7">
      <c r="C28" s="12"/>
      <c r="D28" s="12"/>
      <c r="E28" s="8" t="s">
        <v>65</v>
      </c>
      <c r="F28" s="12">
        <f>6700+3600+3200+13500+41250+8944+3000</f>
        <v>80194</v>
      </c>
    </row>
    <row r="29" spans="2:7">
      <c r="C29" s="12"/>
      <c r="D29" s="12"/>
      <c r="E29" s="8" t="s">
        <v>39</v>
      </c>
      <c r="F29" s="12">
        <f>7000+22295+913</f>
        <v>30208</v>
      </c>
    </row>
    <row r="30" spans="2:7">
      <c r="C30" s="12"/>
      <c r="D30" s="12"/>
      <c r="E30" s="8" t="s">
        <v>86</v>
      </c>
      <c r="F30" s="21">
        <v>6235</v>
      </c>
    </row>
    <row r="31" spans="2:7">
      <c r="C31" s="12"/>
      <c r="D31" s="12"/>
      <c r="E31" s="8" t="s">
        <v>40</v>
      </c>
      <c r="F31" s="8">
        <f>989</f>
        <v>989</v>
      </c>
    </row>
    <row r="32" spans="2:7">
      <c r="C32" s="12"/>
      <c r="D32" s="12"/>
      <c r="E32" s="8" t="s">
        <v>87</v>
      </c>
      <c r="F32" s="8">
        <v>99940</v>
      </c>
    </row>
    <row r="33" spans="2:6">
      <c r="C33" s="12"/>
      <c r="D33" s="12"/>
      <c r="F33" s="12"/>
    </row>
    <row r="34" spans="2:6">
      <c r="C34" s="12"/>
      <c r="D34" s="12"/>
    </row>
    <row r="35" spans="2:6" ht="13.5" thickBot="1">
      <c r="B35" s="14" t="s">
        <v>22</v>
      </c>
      <c r="C35" s="15">
        <f>SUM(C14:C34)</f>
        <v>421299.96</v>
      </c>
      <c r="D35" s="15"/>
      <c r="E35" s="15" t="s">
        <v>22</v>
      </c>
      <c r="F35" s="15">
        <f>SUM(F14:F34)</f>
        <v>321290.02</v>
      </c>
    </row>
    <row r="36" spans="2:6">
      <c r="B36" s="18"/>
      <c r="C36" s="19"/>
      <c r="D36" s="19"/>
      <c r="E36" s="19"/>
      <c r="F36" s="19"/>
    </row>
    <row r="37" spans="2:6">
      <c r="B37" s="9" t="s">
        <v>88</v>
      </c>
      <c r="C37" s="20">
        <v>69772.7</v>
      </c>
      <c r="D37" s="12"/>
    </row>
    <row r="38" spans="2:6">
      <c r="B38" s="9" t="s">
        <v>74</v>
      </c>
      <c r="C38" s="16">
        <f>C37+C35-F35</f>
        <v>169782.64</v>
      </c>
    </row>
    <row r="39" spans="2:6">
      <c r="F39" s="12"/>
    </row>
    <row r="40" spans="2:6">
      <c r="C40" s="12"/>
    </row>
  </sheetData>
  <pageMargins left="0.25" right="0.25" top="0.75" bottom="0.75" header="0.3" footer="0.3"/>
  <pageSetup paperSize="9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workbookViewId="0"/>
  </sheetViews>
  <sheetFormatPr defaultRowHeight="12.75"/>
  <cols>
    <col min="1" max="1" width="19.5703125" style="8" customWidth="1"/>
    <col min="2" max="2" width="13.85546875" style="8" bestFit="1" customWidth="1"/>
    <col min="3" max="3" width="55.140625" style="8" bestFit="1" customWidth="1"/>
    <col min="4" max="4" width="10.140625" style="8" bestFit="1" customWidth="1"/>
    <col min="5" max="5" width="9.140625" style="8"/>
    <col min="6" max="6" width="20.5703125" style="8" bestFit="1" customWidth="1"/>
    <col min="7" max="16384" width="9.140625" style="8"/>
  </cols>
  <sheetData>
    <row r="1" spans="1:6">
      <c r="A1" s="8" t="s">
        <v>89</v>
      </c>
    </row>
    <row r="6" spans="1:6">
      <c r="A6" s="9" t="s">
        <v>1</v>
      </c>
      <c r="B6" s="10" t="s">
        <v>2</v>
      </c>
      <c r="C6" s="11" t="s">
        <v>3</v>
      </c>
      <c r="D6" s="10" t="s">
        <v>2</v>
      </c>
    </row>
    <row r="7" spans="1:6">
      <c r="A7" s="8" t="s">
        <v>14</v>
      </c>
      <c r="B7" s="12">
        <f>1.42+5.4+1.32+1.11+0.88+0.57+1.07+0.94+0.75+0.64+0.6+0.6</f>
        <v>15.3</v>
      </c>
      <c r="C7" s="8" t="s">
        <v>26</v>
      </c>
      <c r="D7" s="12">
        <f>1277+205+62+267+125+149+34+37+145+40+160+73+115+67+123+145+135+167+213</f>
        <v>3539</v>
      </c>
    </row>
    <row r="8" spans="1:6">
      <c r="B8" s="12"/>
      <c r="D8" s="12"/>
    </row>
    <row r="9" spans="1:6">
      <c r="A9" s="8" t="s">
        <v>12</v>
      </c>
      <c r="B9" s="12">
        <f>1200+5400+52340</f>
        <v>58940</v>
      </c>
      <c r="C9" s="8" t="s">
        <v>9</v>
      </c>
      <c r="D9" s="12"/>
      <c r="E9" s="12"/>
      <c r="F9" s="13"/>
    </row>
    <row r="10" spans="1:6">
      <c r="B10" s="12"/>
      <c r="D10" s="12"/>
    </row>
    <row r="11" spans="1:6">
      <c r="A11" s="8" t="s">
        <v>4</v>
      </c>
      <c r="B11" s="12">
        <f>101500+55150+7700+1400+1400+10000+700+700+1700+700+1400</f>
        <v>182350</v>
      </c>
      <c r="C11" s="8" t="s">
        <v>5</v>
      </c>
      <c r="D11" s="12">
        <f>3500+14000+7000+7000+7000+7000+7000+7000+7000</f>
        <v>66500</v>
      </c>
    </row>
    <row r="12" spans="1:6">
      <c r="A12" s="8" t="s">
        <v>6</v>
      </c>
      <c r="B12" s="12">
        <f>3006+1518+3915+2580</f>
        <v>11019</v>
      </c>
      <c r="C12" s="8" t="s">
        <v>90</v>
      </c>
      <c r="D12" s="12">
        <f>2500+225+88+32+3500+3000+674+14641</f>
        <v>24660</v>
      </c>
    </row>
    <row r="13" spans="1:6">
      <c r="B13" s="12"/>
      <c r="C13" s="8" t="s">
        <v>7</v>
      </c>
      <c r="D13" s="12">
        <f>368+1858+837</f>
        <v>3063</v>
      </c>
    </row>
    <row r="14" spans="1:6">
      <c r="B14" s="12"/>
      <c r="C14" s="8" t="s">
        <v>78</v>
      </c>
      <c r="D14" s="12">
        <v>22350</v>
      </c>
    </row>
    <row r="15" spans="1:6">
      <c r="B15" s="12"/>
      <c r="C15" s="8" t="s">
        <v>31</v>
      </c>
      <c r="D15" s="12">
        <v>858</v>
      </c>
    </row>
    <row r="16" spans="1:6">
      <c r="B16" s="12"/>
      <c r="C16" s="8" t="s">
        <v>54</v>
      </c>
      <c r="D16" s="12">
        <f>149+1018+1300+1800+155+800+250+250+437+299</f>
        <v>6458</v>
      </c>
    </row>
    <row r="17" spans="1:6">
      <c r="B17" s="12"/>
      <c r="C17" s="8" t="s">
        <v>55</v>
      </c>
      <c r="D17" s="12">
        <f>1835+1035+1500+400+500+736</f>
        <v>6006</v>
      </c>
    </row>
    <row r="18" spans="1:6">
      <c r="B18" s="12"/>
      <c r="C18" s="8" t="s">
        <v>91</v>
      </c>
      <c r="D18" s="12">
        <f>59976+20000+19576</f>
        <v>99552</v>
      </c>
    </row>
    <row r="19" spans="1:6">
      <c r="B19" s="12"/>
      <c r="C19" s="8" t="s">
        <v>32</v>
      </c>
      <c r="D19" s="12">
        <f>500+3000+300+570+825+1400+400+400</f>
        <v>7395</v>
      </c>
      <c r="E19" s="12"/>
    </row>
    <row r="20" spans="1:6">
      <c r="B20" s="12"/>
      <c r="C20" s="8" t="s">
        <v>92</v>
      </c>
      <c r="D20" s="12">
        <v>6412</v>
      </c>
      <c r="E20" s="12"/>
    </row>
    <row r="21" spans="1:6">
      <c r="B21" s="12"/>
      <c r="D21" s="12"/>
    </row>
    <row r="22" spans="1:6">
      <c r="B22" s="12"/>
      <c r="D22" s="12"/>
    </row>
    <row r="23" spans="1:6">
      <c r="B23" s="12"/>
      <c r="D23" s="12"/>
    </row>
    <row r="24" spans="1:6">
      <c r="B24" s="12"/>
      <c r="D24" s="12"/>
    </row>
    <row r="25" spans="1:6">
      <c r="B25" s="12"/>
      <c r="D25" s="12"/>
    </row>
    <row r="26" spans="1:6">
      <c r="B26" s="12"/>
      <c r="C26" s="8" t="s">
        <v>93</v>
      </c>
      <c r="D26" s="12">
        <v>695</v>
      </c>
      <c r="F26" s="13"/>
    </row>
    <row r="27" spans="1:6">
      <c r="B27" s="12"/>
      <c r="D27" s="12"/>
    </row>
    <row r="28" spans="1:6">
      <c r="B28" s="12"/>
      <c r="D28" s="12"/>
    </row>
    <row r="29" spans="1:6">
      <c r="B29" s="12"/>
      <c r="D29" s="12"/>
    </row>
    <row r="30" spans="1:6" ht="13.5" thickBot="1">
      <c r="A30" s="14" t="s">
        <v>22</v>
      </c>
      <c r="B30" s="15">
        <f>SUM(B7:B27)</f>
        <v>252324.3</v>
      </c>
      <c r="C30" s="15" t="s">
        <v>22</v>
      </c>
      <c r="D30" s="15">
        <f>SUM(D7:D28)</f>
        <v>247488</v>
      </c>
    </row>
    <row r="31" spans="1:6">
      <c r="A31" s="9" t="s">
        <v>94</v>
      </c>
      <c r="B31" s="12"/>
      <c r="D31" s="16">
        <v>64936.4</v>
      </c>
    </row>
    <row r="32" spans="1:6">
      <c r="A32" s="9" t="s">
        <v>88</v>
      </c>
      <c r="D32" s="16">
        <f>D31+SUM(B7:B29)-SUM(D7:D29)</f>
        <v>69772.700000000012</v>
      </c>
    </row>
    <row r="33" spans="4:4">
      <c r="D33" s="12"/>
    </row>
  </sheetData>
  <pageMargins left="0.78740157499999996" right="0.78740157499999996" top="0.984251969" bottom="0.984251969" header="0.4921259845" footer="0.4921259845"/>
  <pageSetup paperSize="9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"/>
  <sheetViews>
    <sheetView workbookViewId="0"/>
  </sheetViews>
  <sheetFormatPr defaultRowHeight="12.75"/>
  <cols>
    <col min="1" max="1" width="19.5703125" customWidth="1"/>
    <col min="2" max="2" width="10.140625" bestFit="1" customWidth="1"/>
    <col min="3" max="3" width="55.140625" bestFit="1" customWidth="1"/>
    <col min="4" max="4" width="10.140625" bestFit="1" customWidth="1"/>
  </cols>
  <sheetData>
    <row r="1" spans="1:5">
      <c r="A1" t="s">
        <v>25</v>
      </c>
    </row>
    <row r="6" spans="1:5">
      <c r="A6" s="4" t="s">
        <v>1</v>
      </c>
      <c r="B6" s="5" t="s">
        <v>2</v>
      </c>
      <c r="C6" s="6" t="s">
        <v>3</v>
      </c>
      <c r="D6" s="5" t="s">
        <v>2</v>
      </c>
    </row>
    <row r="7" spans="1:5">
      <c r="A7" t="s">
        <v>14</v>
      </c>
      <c r="B7" s="1">
        <f>9.68+14.79+16.47+15.57+9.85+3.84+6.28+5.62+4.42+3.19+2.8+2.8</f>
        <v>95.31</v>
      </c>
      <c r="C7" t="s">
        <v>26</v>
      </c>
      <c r="D7" s="1">
        <f>7*2+16+20+8+10+6+45+100+400+8+15+5*4+9*2+6+8+6+45+100+280+24+45+15+7*2+4+45+100+135+8+45+15+2+10+2+4+2+4+2+45+100+75+24+6+60+15+2+8+45+45+100+5+2+15+2+45+100+10+16+45+15+2*2+45+100+5+2+8+45+15+2+45+100+5+8+4+15+16+60+6+5+45+100+15+45+100+8+45+2+15+45+100+15+45+100+15</f>
        <v>3566</v>
      </c>
    </row>
    <row r="8" spans="1:5">
      <c r="B8" s="1"/>
      <c r="D8" s="1"/>
    </row>
    <row r="9" spans="1:5">
      <c r="A9" t="s">
        <v>12</v>
      </c>
      <c r="B9" s="1">
        <f>5550+63141</f>
        <v>68691</v>
      </c>
      <c r="C9" t="s">
        <v>9</v>
      </c>
      <c r="D9" s="1">
        <f>32011</f>
        <v>32011</v>
      </c>
      <c r="E9" s="1"/>
    </row>
    <row r="10" spans="1:5">
      <c r="B10" s="1"/>
      <c r="D10" s="1"/>
    </row>
    <row r="11" spans="1:5">
      <c r="A11" t="s">
        <v>4</v>
      </c>
      <c r="B11" s="1">
        <f>67*700+1700+1500+1000+500+1000+3000+1000*4+500+1200+1400+7400+52*700+1000+3000+2*2000+2800+24*700+1000*2-490+12*700+5000+1000+350+700+700+700+1000</f>
        <v>153460</v>
      </c>
      <c r="C11" t="s">
        <v>5</v>
      </c>
      <c r="D11" s="1">
        <f>7000*6+2*5000+7000+7000+7000</f>
        <v>73000</v>
      </c>
    </row>
    <row r="12" spans="1:5">
      <c r="A12" t="s">
        <v>6</v>
      </c>
      <c r="B12" s="1">
        <f>2775+1065+1011</f>
        <v>4851</v>
      </c>
      <c r="C12" t="s">
        <v>90</v>
      </c>
      <c r="D12" s="1">
        <f>1545+200+2800+1200+2800+5857+372+1000+3054-920</f>
        <v>17908</v>
      </c>
    </row>
    <row r="13" spans="1:5">
      <c r="B13" s="1"/>
      <c r="C13" t="s">
        <v>7</v>
      </c>
      <c r="D13" s="1">
        <f>170+597+643</f>
        <v>1410</v>
      </c>
    </row>
    <row r="14" spans="1:5">
      <c r="B14" s="1"/>
      <c r="C14" t="s">
        <v>41</v>
      </c>
      <c r="D14" s="1">
        <f>2000+1000+72+240+12+60+60+500+286</f>
        <v>4230</v>
      </c>
    </row>
    <row r="15" spans="1:5">
      <c r="B15" s="1"/>
      <c r="C15" t="s">
        <v>95</v>
      </c>
      <c r="D15" s="1">
        <v>29992</v>
      </c>
    </row>
    <row r="16" spans="1:5">
      <c r="B16" s="1"/>
      <c r="C16" t="s">
        <v>33</v>
      </c>
      <c r="D16" s="1">
        <v>34950</v>
      </c>
    </row>
    <row r="17" spans="1:5">
      <c r="B17" s="1"/>
      <c r="C17" t="s">
        <v>96</v>
      </c>
      <c r="D17" s="1">
        <v>1189</v>
      </c>
    </row>
    <row r="18" spans="1:5">
      <c r="B18" s="1"/>
      <c r="C18" t="s">
        <v>31</v>
      </c>
      <c r="D18" s="1">
        <f>767</f>
        <v>767</v>
      </c>
    </row>
    <row r="19" spans="1:5">
      <c r="B19" s="1"/>
      <c r="C19" t="s">
        <v>54</v>
      </c>
      <c r="D19" s="1">
        <f>96+329+600+2000+1400+600+2000+164+139+555+1146</f>
        <v>9029</v>
      </c>
      <c r="E19" s="1"/>
    </row>
    <row r="20" spans="1:5">
      <c r="B20" s="1"/>
      <c r="C20" t="s">
        <v>55</v>
      </c>
      <c r="D20" s="1">
        <f>2000+400+1714+90+56+500+700+206+745-91+139+79+2000+2036+164+714</f>
        <v>11452</v>
      </c>
      <c r="E20" s="1"/>
    </row>
    <row r="21" spans="1:5">
      <c r="B21" s="1"/>
      <c r="C21" t="s">
        <v>97</v>
      </c>
      <c r="D21" s="1">
        <f>3050+4400+384</f>
        <v>7834</v>
      </c>
    </row>
    <row r="22" spans="1:5">
      <c r="B22" s="1"/>
      <c r="C22" t="s">
        <v>98</v>
      </c>
      <c r="D22" s="1">
        <f>1053+117+121</f>
        <v>1291</v>
      </c>
    </row>
    <row r="23" spans="1:5">
      <c r="B23" s="1"/>
      <c r="C23" t="s">
        <v>99</v>
      </c>
      <c r="D23" s="1">
        <v>595</v>
      </c>
    </row>
    <row r="24" spans="1:5">
      <c r="B24" s="1"/>
      <c r="C24" t="s">
        <v>100</v>
      </c>
      <c r="D24" s="1">
        <v>3112</v>
      </c>
    </row>
    <row r="25" spans="1:5">
      <c r="B25" s="1"/>
      <c r="C25" t="s">
        <v>32</v>
      </c>
      <c r="D25" s="1">
        <f>700+2000+1000+2000+1500</f>
        <v>7200</v>
      </c>
    </row>
    <row r="26" spans="1:5">
      <c r="B26" s="1"/>
      <c r="C26" t="s">
        <v>101</v>
      </c>
      <c r="D26" s="1">
        <f>2160</f>
        <v>2160</v>
      </c>
    </row>
    <row r="27" spans="1:5">
      <c r="B27" s="1"/>
      <c r="C27" t="s">
        <v>102</v>
      </c>
      <c r="D27" s="1">
        <v>4760</v>
      </c>
    </row>
    <row r="28" spans="1:5">
      <c r="B28" s="1"/>
      <c r="C28" t="s">
        <v>103</v>
      </c>
      <c r="D28" s="1">
        <v>57054.5</v>
      </c>
    </row>
    <row r="29" spans="1:5">
      <c r="B29" s="1"/>
      <c r="D29" s="1"/>
    </row>
    <row r="30" spans="1:5" ht="13.5" thickBot="1">
      <c r="A30" s="2" t="s">
        <v>22</v>
      </c>
      <c r="B30" s="3">
        <f>SUM(B7:B27)</f>
        <v>227097.31</v>
      </c>
      <c r="C30" s="3" t="s">
        <v>22</v>
      </c>
      <c r="D30" s="3">
        <f>SUM(D7:D28)</f>
        <v>303510.5</v>
      </c>
    </row>
    <row r="31" spans="1:5">
      <c r="A31" s="4" t="s">
        <v>43</v>
      </c>
      <c r="B31" s="1"/>
      <c r="D31" s="7">
        <v>141349.59</v>
      </c>
    </row>
    <row r="32" spans="1:5">
      <c r="A32" s="4" t="s">
        <v>94</v>
      </c>
      <c r="D32" s="7">
        <f>D31+SUM(B7:B29)-SUM(D7:D29)</f>
        <v>64936.400000000023</v>
      </c>
    </row>
  </sheetData>
  <phoneticPr fontId="0" type="noConversion"/>
  <pageMargins left="0.78740157499999996" right="0.78740157499999996" top="0.984251969" bottom="0.984251969" header="0.4921259845" footer="0.4921259845"/>
  <pageSetup paperSize="9" orientation="landscape" horizontalDpi="200" verticalDpi="2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8"/>
  <sheetViews>
    <sheetView workbookViewId="0">
      <selection activeCell="E42" sqref="E42"/>
    </sheetView>
  </sheetViews>
  <sheetFormatPr defaultRowHeight="12.75"/>
  <cols>
    <col min="1" max="1" width="3.140625" customWidth="1"/>
    <col min="2" max="2" width="41.42578125" customWidth="1"/>
    <col min="3" max="3" width="12.85546875" style="1" customWidth="1"/>
    <col min="4" max="4" width="5.42578125" customWidth="1"/>
    <col min="5" max="5" width="41.42578125" customWidth="1"/>
    <col min="6" max="6" width="12.85546875" style="1" customWidth="1"/>
    <col min="9" max="9" width="16" bestFit="1" customWidth="1"/>
    <col min="11" max="11" width="28.140625" bestFit="1" customWidth="1"/>
    <col min="12" max="12" width="10.140625" bestFit="1" customWidth="1"/>
    <col min="14" max="14" width="39.85546875" bestFit="1" customWidth="1"/>
    <col min="15" max="15" width="10.140625" bestFit="1" customWidth="1"/>
  </cols>
  <sheetData>
    <row r="1" spans="1:15" ht="12" customHeight="1">
      <c r="L1" s="1"/>
      <c r="O1" s="1"/>
    </row>
    <row r="2" spans="1:15" ht="12" customHeight="1">
      <c r="L2" s="1"/>
      <c r="O2" s="1"/>
    </row>
    <row r="3" spans="1:15" ht="12" customHeight="1">
      <c r="L3" s="1"/>
      <c r="O3" s="1"/>
    </row>
    <row r="4" spans="1:15" ht="12" customHeight="1">
      <c r="L4" s="1"/>
      <c r="O4" s="1"/>
    </row>
    <row r="5" spans="1:15" ht="12" customHeight="1">
      <c r="L5" s="1"/>
      <c r="O5" s="1"/>
    </row>
    <row r="6" spans="1:15" ht="12" customHeight="1">
      <c r="L6" s="1"/>
      <c r="O6" s="1"/>
    </row>
    <row r="7" spans="1:15" ht="15.75">
      <c r="A7" s="17" t="s">
        <v>44</v>
      </c>
      <c r="J7" s="17" t="s">
        <v>45</v>
      </c>
      <c r="L7" s="1"/>
      <c r="O7" s="1"/>
    </row>
    <row r="8" spans="1:15">
      <c r="L8" s="1"/>
      <c r="O8" s="1"/>
    </row>
    <row r="9" spans="1:15">
      <c r="L9" s="1"/>
      <c r="O9" s="1"/>
    </row>
    <row r="10" spans="1:15">
      <c r="B10" t="s">
        <v>46</v>
      </c>
      <c r="E10" t="s">
        <v>47</v>
      </c>
      <c r="K10" t="s">
        <v>46</v>
      </c>
      <c r="L10" s="1"/>
      <c r="N10" t="s">
        <v>47</v>
      </c>
      <c r="O10" s="1"/>
    </row>
    <row r="11" spans="1:15">
      <c r="L11" s="1"/>
      <c r="O11" s="1"/>
    </row>
    <row r="12" spans="1:15">
      <c r="B12" s="8" t="s">
        <v>14</v>
      </c>
      <c r="C12" s="1">
        <f>2.9+4.29+4.56+3.61+3.43+3.18+3.09+2.59+2.65+2.52+2.32</f>
        <v>35.14</v>
      </c>
      <c r="E12" s="8" t="s">
        <v>26</v>
      </c>
      <c r="F12" s="1">
        <f>1118+1126+441+358+217+209+276+278+181+230+241</f>
        <v>4675</v>
      </c>
      <c r="K12" s="8" t="s">
        <v>14</v>
      </c>
      <c r="L12" s="1">
        <f>1.69+2.34+2.42+2.6</f>
        <v>9.0499999999999989</v>
      </c>
      <c r="N12" s="8" t="s">
        <v>26</v>
      </c>
      <c r="O12" s="1">
        <f>948+749+580+302</f>
        <v>2579</v>
      </c>
    </row>
    <row r="13" spans="1:15">
      <c r="L13" s="1"/>
      <c r="O13" s="1"/>
    </row>
    <row r="14" spans="1:15">
      <c r="L14" s="1"/>
      <c r="O14" s="1"/>
    </row>
    <row r="15" spans="1:15">
      <c r="B15" s="8" t="s">
        <v>4</v>
      </c>
      <c r="C15" s="1">
        <f>294970+700+700+700+1500+20000+700+700+1400+700+1400+1000+100+700+700+700+700+1000</f>
        <v>328370</v>
      </c>
      <c r="E15" s="8" t="s">
        <v>48</v>
      </c>
      <c r="F15" s="1">
        <f>7000+7000+7000+7000+7000+7000+7000</f>
        <v>49000</v>
      </c>
      <c r="K15" s="8" t="s">
        <v>4</v>
      </c>
      <c r="L15" s="1">
        <f>237950+700+1400+350+1000+1000+2100+700+2200+1700</f>
        <v>249100</v>
      </c>
      <c r="N15" s="8" t="s">
        <v>48</v>
      </c>
      <c r="O15" s="1">
        <v>70000</v>
      </c>
    </row>
    <row r="16" spans="1:15">
      <c r="B16" s="8" t="s">
        <v>6</v>
      </c>
      <c r="C16" s="1">
        <f>1416+1428+1404+2028</f>
        <v>6276</v>
      </c>
      <c r="E16" t="s">
        <v>104</v>
      </c>
      <c r="F16" s="1">
        <v>406</v>
      </c>
      <c r="K16" s="8" t="s">
        <v>6</v>
      </c>
      <c r="L16" s="1">
        <f>3460</f>
        <v>3460</v>
      </c>
      <c r="O16" s="1"/>
    </row>
    <row r="17" spans="2:15">
      <c r="B17" s="8" t="s">
        <v>105</v>
      </c>
      <c r="C17" s="1">
        <v>1750</v>
      </c>
      <c r="E17" s="8" t="s">
        <v>53</v>
      </c>
      <c r="F17" s="1">
        <f>1200+2304+1864+496</f>
        <v>5864</v>
      </c>
      <c r="L17" s="1"/>
      <c r="N17" s="8" t="s">
        <v>54</v>
      </c>
      <c r="O17" s="1">
        <f>111+1200</f>
        <v>1311</v>
      </c>
    </row>
    <row r="18" spans="2:15">
      <c r="E18" s="8" t="s">
        <v>106</v>
      </c>
      <c r="F18" s="1">
        <f>2304+357+400+1352+995</f>
        <v>5408</v>
      </c>
      <c r="L18" s="1"/>
      <c r="N18" s="8" t="s">
        <v>55</v>
      </c>
      <c r="O18" s="1">
        <f>1081+299+400</f>
        <v>1780</v>
      </c>
    </row>
    <row r="19" spans="2:15">
      <c r="B19" t="s">
        <v>56</v>
      </c>
      <c r="E19" s="8" t="s">
        <v>57</v>
      </c>
      <c r="F19" s="1">
        <f>230+351+2347+603+100+484</f>
        <v>4115</v>
      </c>
      <c r="K19" t="s">
        <v>58</v>
      </c>
      <c r="L19" s="1">
        <f>700-700+1400-1400</f>
        <v>0</v>
      </c>
      <c r="N19" s="8" t="s">
        <v>32</v>
      </c>
      <c r="O19" s="1">
        <f>300+110</f>
        <v>410</v>
      </c>
    </row>
    <row r="20" spans="2:15">
      <c r="B20" t="s">
        <v>59</v>
      </c>
      <c r="E20" s="8" t="s">
        <v>60</v>
      </c>
      <c r="F20" s="1">
        <f>1440+387+244+1900+4200</f>
        <v>8171</v>
      </c>
      <c r="K20" t="s">
        <v>59</v>
      </c>
      <c r="L20" s="1"/>
      <c r="N20" s="8" t="s">
        <v>60</v>
      </c>
      <c r="O20" s="1">
        <f>2700</f>
        <v>2700</v>
      </c>
    </row>
    <row r="21" spans="2:15">
      <c r="B21" t="s">
        <v>107</v>
      </c>
      <c r="C21" s="1">
        <f>1679+15030</f>
        <v>16709</v>
      </c>
      <c r="E21" s="8" t="s">
        <v>62</v>
      </c>
      <c r="F21" s="1">
        <f>7936+14264+5990+10849</f>
        <v>39039</v>
      </c>
      <c r="K21" t="s">
        <v>61</v>
      </c>
      <c r="L21" s="1">
        <v>14610</v>
      </c>
      <c r="N21" s="8" t="s">
        <v>63</v>
      </c>
      <c r="O21" s="1">
        <f>3000</f>
        <v>3000</v>
      </c>
    </row>
    <row r="22" spans="2:15">
      <c r="B22" t="s">
        <v>64</v>
      </c>
      <c r="C22" s="1">
        <f>4700+6950+6270</f>
        <v>17920</v>
      </c>
      <c r="E22" s="8" t="s">
        <v>63</v>
      </c>
      <c r="F22" s="1">
        <f>200+2595</f>
        <v>2795</v>
      </c>
      <c r="L22" s="1"/>
      <c r="N22" s="8" t="s">
        <v>65</v>
      </c>
      <c r="O22" s="1">
        <f>8000+2060+18750+14464</f>
        <v>43274</v>
      </c>
    </row>
    <row r="23" spans="2:15">
      <c r="B23" s="8" t="s">
        <v>66</v>
      </c>
      <c r="E23" s="8" t="s">
        <v>65</v>
      </c>
      <c r="F23" s="1">
        <f>8400+23430+12801+1640+150+2614</f>
        <v>49035</v>
      </c>
      <c r="L23" s="1"/>
      <c r="N23" s="8" t="s">
        <v>67</v>
      </c>
      <c r="O23" s="1">
        <f>6161</f>
        <v>6161</v>
      </c>
    </row>
    <row r="24" spans="2:15">
      <c r="B24" t="s">
        <v>68</v>
      </c>
      <c r="C24" s="1">
        <f>37706+3900</f>
        <v>41606</v>
      </c>
      <c r="E24" s="8" t="s">
        <v>67</v>
      </c>
      <c r="F24" s="1">
        <f>5178+1500+6872.2+9136+2010.8</f>
        <v>24697</v>
      </c>
      <c r="L24" s="1"/>
      <c r="N24" s="8" t="s">
        <v>69</v>
      </c>
      <c r="O24" s="1">
        <v>7212</v>
      </c>
    </row>
    <row r="25" spans="2:15">
      <c r="E25" s="8" t="s">
        <v>108</v>
      </c>
      <c r="F25" s="1">
        <f>1500</f>
        <v>1500</v>
      </c>
      <c r="L25" s="1"/>
      <c r="N25" s="8"/>
      <c r="O25" s="1"/>
    </row>
    <row r="26" spans="2:15">
      <c r="E26" s="8" t="s">
        <v>109</v>
      </c>
      <c r="F26" s="1">
        <f>4999+569</f>
        <v>5568</v>
      </c>
      <c r="L26" s="1"/>
      <c r="N26" s="8"/>
      <c r="O26" s="1"/>
    </row>
    <row r="27" spans="2:15">
      <c r="E27" s="8" t="s">
        <v>110</v>
      </c>
      <c r="F27" s="1">
        <f>160730</f>
        <v>160730</v>
      </c>
      <c r="L27" s="1"/>
      <c r="O27" s="1"/>
    </row>
    <row r="28" spans="2:15">
      <c r="B28" t="s">
        <v>83</v>
      </c>
      <c r="C28" s="1">
        <f>640-640+3360-3360+320-320+450+1500-1500-450+450-450+2500-2500</f>
        <v>0</v>
      </c>
      <c r="E28" s="8" t="s">
        <v>68</v>
      </c>
      <c r="F28" s="1">
        <f>2662+1320+35528+2900+1770</f>
        <v>44180</v>
      </c>
      <c r="L28" s="1"/>
      <c r="O28" s="1"/>
    </row>
    <row r="29" spans="2:15">
      <c r="E29" s="8" t="s">
        <v>111</v>
      </c>
      <c r="F29" s="1">
        <f>638+3000+15226+1188+7000+496+760+1884</f>
        <v>30192</v>
      </c>
      <c r="L29" s="1"/>
      <c r="O29" s="1"/>
    </row>
    <row r="30" spans="2:15">
      <c r="E30" s="8" t="s">
        <v>112</v>
      </c>
      <c r="F30" s="1">
        <f>574+360</f>
        <v>934</v>
      </c>
      <c r="L30" s="1"/>
      <c r="O30" s="1"/>
    </row>
    <row r="31" spans="2:15">
      <c r="E31" s="8" t="s">
        <v>113</v>
      </c>
      <c r="F31" s="1">
        <f>10000-2224</f>
        <v>7776</v>
      </c>
      <c r="L31" s="1"/>
      <c r="O31" s="1"/>
    </row>
    <row r="32" spans="2:15">
      <c r="E32" s="8" t="s">
        <v>114</v>
      </c>
      <c r="F32" s="1">
        <v>7650</v>
      </c>
      <c r="L32" s="1"/>
      <c r="O32" s="1"/>
    </row>
    <row r="33" spans="2:15" ht="13.5" thickBot="1">
      <c r="B33" s="22"/>
      <c r="D33" s="22"/>
      <c r="E33" s="22" t="s">
        <v>73</v>
      </c>
      <c r="F33" s="23">
        <f>492+286+356+176+642+542</f>
        <v>2494</v>
      </c>
      <c r="K33" s="22"/>
      <c r="L33" s="23"/>
      <c r="M33" s="22"/>
      <c r="N33" s="22"/>
      <c r="O33" s="23"/>
    </row>
    <row r="34" spans="2:15" ht="13.5" thickBot="1">
      <c r="B34" s="24" t="s">
        <v>22</v>
      </c>
      <c r="C34" s="25">
        <f>SUM(C12:C33)</f>
        <v>412666.14</v>
      </c>
      <c r="D34" s="24"/>
      <c r="E34" s="24" t="s">
        <v>22</v>
      </c>
      <c r="F34" s="25">
        <f>SUM(F12:F33)</f>
        <v>454229</v>
      </c>
      <c r="K34" s="24" t="s">
        <v>22</v>
      </c>
      <c r="L34" s="25">
        <f>SUM(L12:L33)</f>
        <v>267179.05</v>
      </c>
      <c r="M34" s="24"/>
      <c r="N34" s="24" t="s">
        <v>22</v>
      </c>
      <c r="O34" s="25">
        <f>SUM(O12:O33)</f>
        <v>138427</v>
      </c>
    </row>
    <row r="35" spans="2:15">
      <c r="L35" s="1"/>
      <c r="O35" s="1"/>
    </row>
    <row r="36" spans="2:15">
      <c r="L36" s="1"/>
      <c r="O36" s="1"/>
    </row>
    <row r="37" spans="2:15">
      <c r="B37" s="9" t="s">
        <v>75</v>
      </c>
      <c r="C37" s="1">
        <v>309381.28999999998</v>
      </c>
      <c r="K37" s="9" t="s">
        <v>74</v>
      </c>
      <c r="L37" s="1">
        <v>169782.64</v>
      </c>
      <c r="O37" s="1"/>
    </row>
    <row r="38" spans="2:15">
      <c r="B38" s="9" t="s">
        <v>115</v>
      </c>
      <c r="C38" s="1">
        <f>C37+SUM(C12:C33)-SUM(F12:F33)</f>
        <v>267818.42999999993</v>
      </c>
      <c r="K38" s="9" t="s">
        <v>76</v>
      </c>
      <c r="L38" s="1">
        <f>L37+SUM(L12:L33)-SUM(O12:O33)</f>
        <v>298534.69</v>
      </c>
      <c r="O38" s="1"/>
    </row>
  </sheetData>
  <pageMargins left="1.6141732283464567" right="0.23622047244094491" top="0.74803149606299213" bottom="0.74803149606299213" header="0.31496062992125984" footer="0.31496062992125984"/>
  <pageSetup paperSize="9" orientation="landscape" copies="2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kozeluhova</dc:creator>
  <cp:keywords/>
  <dc:description/>
  <cp:lastModifiedBy> </cp:lastModifiedBy>
  <cp:revision/>
  <dcterms:created xsi:type="dcterms:W3CDTF">2007-09-04T10:16:17Z</dcterms:created>
  <dcterms:modified xsi:type="dcterms:W3CDTF">2015-09-14T06:56:15Z</dcterms:modified>
</cp:coreProperties>
</file>